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christianwalter/Desktop/Customers/HSE/"/>
    </mc:Choice>
  </mc:AlternateContent>
  <xr:revisionPtr revIDLastSave="0" documentId="13_ncr:1_{6D8C6B57-51CB-F14E-B33F-F73D75D9358C}" xr6:coauthVersionLast="47" xr6:coauthVersionMax="47" xr10:uidLastSave="{00000000-0000-0000-0000-000000000000}"/>
  <bookViews>
    <workbookView xWindow="0" yWindow="760" windowWidth="30240" windowHeight="18880" activeTab="4" xr2:uid="{BDC60710-C687-CF47-A59C-9542BF2893D5}"/>
  </bookViews>
  <sheets>
    <sheet name="Sales &amp; Profit Planning" sheetId="3" r:id="rId1"/>
    <sheet name="Project Cost Planning" sheetId="2" r:id="rId2"/>
    <sheet name="Business Case best case" sheetId="1" r:id="rId3"/>
    <sheet name="Business Case worst case" sheetId="4" r:id="rId4"/>
    <sheet name="Payback"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5" l="1"/>
  <c r="B33" i="3"/>
  <c r="B35" i="3" s="1"/>
  <c r="C8" i="5" s="1"/>
  <c r="B32" i="3"/>
  <c r="C24" i="3"/>
  <c r="C31" i="3"/>
  <c r="C32" i="3" s="1"/>
  <c r="D24" i="3"/>
  <c r="E24" i="2"/>
  <c r="D24" i="2"/>
  <c r="C24" i="2"/>
  <c r="E23" i="2"/>
  <c r="D23" i="2"/>
  <c r="C23" i="2"/>
  <c r="E18" i="2"/>
  <c r="D18" i="2"/>
  <c r="C18" i="2"/>
  <c r="E17" i="2"/>
  <c r="D17" i="2"/>
  <c r="C17" i="2"/>
  <c r="B20" i="3"/>
  <c r="H25" i="2"/>
  <c r="G25" i="2"/>
  <c r="F25" i="2"/>
  <c r="E25" i="2"/>
  <c r="D25" i="2"/>
  <c r="C25" i="2"/>
  <c r="A6" i="5"/>
  <c r="B25" i="2"/>
  <c r="I27" i="2"/>
  <c r="I15" i="1" s="1"/>
  <c r="J7" i="5" s="1"/>
  <c r="I28" i="2"/>
  <c r="I15" i="4" s="1"/>
  <c r="J9" i="5" s="1"/>
  <c r="H19" i="2"/>
  <c r="H27" i="2" s="1"/>
  <c r="H15" i="1" s="1"/>
  <c r="I7" i="5" s="1"/>
  <c r="G19" i="2"/>
  <c r="G27" i="2" s="1"/>
  <c r="G15" i="1" s="1"/>
  <c r="H7" i="5" s="1"/>
  <c r="F19" i="2"/>
  <c r="F27" i="2" s="1"/>
  <c r="F15" i="1" s="1"/>
  <c r="G7" i="5" s="1"/>
  <c r="E19" i="2"/>
  <c r="D19" i="2"/>
  <c r="C19" i="2"/>
  <c r="B19" i="2"/>
  <c r="B6" i="2"/>
  <c r="C16" i="2" s="1"/>
  <c r="B5" i="2"/>
  <c r="D22" i="2" s="1"/>
  <c r="B26" i="3"/>
  <c r="B28" i="3" s="1"/>
  <c r="B12" i="4" s="1"/>
  <c r="B25" i="3"/>
  <c r="B21" i="3"/>
  <c r="C19" i="3"/>
  <c r="D19" i="3" s="1"/>
  <c r="E19" i="3" s="1"/>
  <c r="F19" i="3" s="1"/>
  <c r="G19" i="3" s="1"/>
  <c r="H19" i="3" s="1"/>
  <c r="I19" i="3" s="1"/>
  <c r="I20" i="3" s="1"/>
  <c r="D31" i="3" l="1"/>
  <c r="D32" i="3" s="1"/>
  <c r="E31" i="3"/>
  <c r="F31" i="3" s="1"/>
  <c r="G31" i="3" s="1"/>
  <c r="H31" i="3" s="1"/>
  <c r="I31" i="3" s="1"/>
  <c r="I33" i="3" s="1"/>
  <c r="E24" i="3"/>
  <c r="H33" i="3"/>
  <c r="E32" i="3"/>
  <c r="F32" i="3"/>
  <c r="F33" i="3"/>
  <c r="F35" i="3" s="1"/>
  <c r="E33" i="3"/>
  <c r="I32" i="3"/>
  <c r="D33" i="3"/>
  <c r="H32" i="3"/>
  <c r="C33" i="3"/>
  <c r="C35" i="3" s="1"/>
  <c r="G32" i="3"/>
  <c r="E27" i="2"/>
  <c r="E15" i="1" s="1"/>
  <c r="F7" i="5" s="1"/>
  <c r="D16" i="2"/>
  <c r="D27" i="2" s="1"/>
  <c r="D15" i="1" s="1"/>
  <c r="E7" i="5" s="1"/>
  <c r="B16" i="2"/>
  <c r="B27" i="2" s="1"/>
  <c r="B15" i="1" s="1"/>
  <c r="C7" i="5" s="1"/>
  <c r="B22" i="2"/>
  <c r="B28" i="2" s="1"/>
  <c r="B15" i="4" s="1"/>
  <c r="C9" i="5" s="1"/>
  <c r="C12" i="5" s="1"/>
  <c r="C22" i="2"/>
  <c r="B12" i="1"/>
  <c r="C6" i="5"/>
  <c r="H28" i="2"/>
  <c r="H15" i="4" s="1"/>
  <c r="I9" i="5" s="1"/>
  <c r="C27" i="2"/>
  <c r="C15" i="1" s="1"/>
  <c r="D7" i="5" s="1"/>
  <c r="C26" i="3"/>
  <c r="D26" i="3"/>
  <c r="F24" i="3"/>
  <c r="G24" i="3" s="1"/>
  <c r="H24" i="3" s="1"/>
  <c r="I24" i="3" s="1"/>
  <c r="I26" i="3" s="1"/>
  <c r="D20" i="3"/>
  <c r="E20" i="3"/>
  <c r="C20" i="3"/>
  <c r="I21" i="3"/>
  <c r="H21" i="3"/>
  <c r="G20" i="3"/>
  <c r="D21" i="3"/>
  <c r="G21" i="3"/>
  <c r="F21" i="3"/>
  <c r="H20" i="3"/>
  <c r="E21" i="3"/>
  <c r="F20" i="3"/>
  <c r="C21" i="3"/>
  <c r="E35" i="3" l="1"/>
  <c r="D35" i="3"/>
  <c r="I35" i="3"/>
  <c r="H35" i="3"/>
  <c r="G33" i="3"/>
  <c r="G35" i="3" s="1"/>
  <c r="H12" i="4"/>
  <c r="I8" i="5"/>
  <c r="I12" i="5" s="1"/>
  <c r="G12" i="4"/>
  <c r="H8" i="5"/>
  <c r="E12" i="4"/>
  <c r="F8" i="5"/>
  <c r="F12" i="4"/>
  <c r="G8" i="5"/>
  <c r="E8" i="5"/>
  <c r="D12" i="4"/>
  <c r="D8" i="5"/>
  <c r="C12" i="4"/>
  <c r="C17" i="5"/>
  <c r="C10" i="5"/>
  <c r="C11" i="5" s="1"/>
  <c r="B17" i="5" s="1"/>
  <c r="B6" i="1"/>
  <c r="B16" i="1"/>
  <c r="B17" i="1" s="1"/>
  <c r="B16" i="4"/>
  <c r="B17" i="4" s="1"/>
  <c r="F28" i="2"/>
  <c r="F15" i="4" s="1"/>
  <c r="G9" i="5" s="1"/>
  <c r="G28" i="2"/>
  <c r="G15" i="4" s="1"/>
  <c r="H9" i="5" s="1"/>
  <c r="E28" i="2"/>
  <c r="E15" i="4" s="1"/>
  <c r="F9" i="5" s="1"/>
  <c r="F12" i="5" s="1"/>
  <c r="D28" i="2"/>
  <c r="D15" i="4" s="1"/>
  <c r="E9" i="5" s="1"/>
  <c r="C28" i="2"/>
  <c r="C15" i="4" s="1"/>
  <c r="F26" i="3"/>
  <c r="F28" i="3" s="1"/>
  <c r="G6" i="5" s="1"/>
  <c r="G10" i="5" s="1"/>
  <c r="F25" i="3"/>
  <c r="E25" i="3"/>
  <c r="E26" i="3"/>
  <c r="E28" i="3" s="1"/>
  <c r="F6" i="5" s="1"/>
  <c r="F10" i="5" s="1"/>
  <c r="H25" i="3"/>
  <c r="G26" i="3"/>
  <c r="G28" i="3" s="1"/>
  <c r="H6" i="5" s="1"/>
  <c r="H10" i="5" s="1"/>
  <c r="H26" i="3"/>
  <c r="H28" i="3" s="1"/>
  <c r="I6" i="5" s="1"/>
  <c r="I10" i="5" s="1"/>
  <c r="C25" i="3"/>
  <c r="D25" i="3"/>
  <c r="I25" i="3"/>
  <c r="I28" i="3"/>
  <c r="J6" i="5" s="1"/>
  <c r="G25" i="3"/>
  <c r="D28" i="3"/>
  <c r="E6" i="5" s="1"/>
  <c r="E10" i="5" s="1"/>
  <c r="C28" i="3"/>
  <c r="D6" i="5" s="1"/>
  <c r="D10" i="5" s="1"/>
  <c r="H12" i="5" l="1"/>
  <c r="J8" i="5"/>
  <c r="J12" i="5" s="1"/>
  <c r="I12" i="4"/>
  <c r="G12" i="5"/>
  <c r="E12" i="5"/>
  <c r="D11" i="5"/>
  <c r="C13" i="5"/>
  <c r="J10" i="5"/>
  <c r="E11" i="5"/>
  <c r="B18" i="5"/>
  <c r="B6" i="4"/>
  <c r="D9" i="5"/>
  <c r="D12" i="5" s="1"/>
  <c r="D12" i="1"/>
  <c r="D16" i="1" s="1"/>
  <c r="D17" i="1" s="1"/>
  <c r="D16" i="4"/>
  <c r="D17" i="4" s="1"/>
  <c r="F12" i="1"/>
  <c r="F16" i="1" s="1"/>
  <c r="F17" i="1" s="1"/>
  <c r="F16" i="4"/>
  <c r="F17" i="4" s="1"/>
  <c r="E12" i="1"/>
  <c r="E16" i="1" s="1"/>
  <c r="E17" i="1" s="1"/>
  <c r="E16" i="4"/>
  <c r="E17" i="4" s="1"/>
  <c r="I12" i="1"/>
  <c r="I16" i="1" s="1"/>
  <c r="I17" i="1" s="1"/>
  <c r="I16" i="4"/>
  <c r="I17" i="4" s="1"/>
  <c r="H12" i="1"/>
  <c r="H16" i="1" s="1"/>
  <c r="H17" i="1" s="1"/>
  <c r="H16" i="4"/>
  <c r="H17" i="4" s="1"/>
  <c r="C12" i="1"/>
  <c r="C16" i="1" s="1"/>
  <c r="C17" i="1" s="1"/>
  <c r="G12" i="1"/>
  <c r="G16" i="1" s="1"/>
  <c r="G17" i="1" s="1"/>
  <c r="G16" i="4"/>
  <c r="G17" i="4" s="1"/>
  <c r="D13" i="5" l="1"/>
  <c r="E13" i="5" s="1"/>
  <c r="C18" i="5"/>
  <c r="F11" i="5"/>
  <c r="B19" i="5"/>
  <c r="B5" i="1"/>
  <c r="C16" i="4"/>
  <c r="C17" i="4" s="1"/>
  <c r="B7" i="4" s="1"/>
  <c r="B5" i="4"/>
  <c r="B7" i="1"/>
  <c r="G11" i="5" l="1"/>
  <c r="B20" i="5"/>
  <c r="F13" i="5"/>
  <c r="C19" i="5"/>
  <c r="G13" i="5" l="1"/>
  <c r="C20" i="5"/>
  <c r="H11" i="5"/>
  <c r="B21" i="5"/>
  <c r="I11" i="5" l="1"/>
  <c r="B22" i="5"/>
  <c r="H13" i="5"/>
  <c r="C21" i="5"/>
  <c r="I13" i="5" l="1"/>
  <c r="C22" i="5"/>
  <c r="J11" i="5"/>
  <c r="B24" i="5" s="1"/>
  <c r="B23" i="5"/>
  <c r="J13" i="5" l="1"/>
  <c r="C24" i="5" s="1"/>
  <c r="C23" i="5"/>
</calcChain>
</file>

<file path=xl/sharedStrings.xml><?xml version="1.0" encoding="utf-8"?>
<sst xmlns="http://schemas.openxmlformats.org/spreadsheetml/2006/main" count="128" uniqueCount="73">
  <si>
    <t>Description</t>
  </si>
  <si>
    <t>Year 1</t>
  </si>
  <si>
    <t>Year 2</t>
  </si>
  <si>
    <t>Year 3</t>
  </si>
  <si>
    <t>Year 4</t>
  </si>
  <si>
    <t>Year 5</t>
  </si>
  <si>
    <t>Year 6</t>
  </si>
  <si>
    <t>Year 7</t>
  </si>
  <si>
    <t>Year 8</t>
  </si>
  <si>
    <t>Profit</t>
  </si>
  <si>
    <t>Incremental Profit</t>
  </si>
  <si>
    <t>Expenses</t>
  </si>
  <si>
    <t>Capital Cost</t>
  </si>
  <si>
    <t>Cumulative Profit</t>
  </si>
  <si>
    <t>Cumulative Expenses</t>
  </si>
  <si>
    <t>Net Present Value</t>
  </si>
  <si>
    <t>Cumulative Net Present Value</t>
  </si>
  <si>
    <t>Net Profit/Loss</t>
  </si>
  <si>
    <t>Expected Sales Growth Legacy Instrument</t>
  </si>
  <si>
    <t>Average Sales Price Legacy Instrument [kLC]</t>
  </si>
  <si>
    <t>Average Cost Price Legacy Instrument [kLC]</t>
  </si>
  <si>
    <t xml:space="preserve">Legacy Instrument </t>
  </si>
  <si>
    <t>Revenue [kLC]</t>
  </si>
  <si>
    <t>Expected Project Duration Next Gen Project [years]</t>
  </si>
  <si>
    <t>Profit [kLC]</t>
  </si>
  <si>
    <t>Unit Sales [#]</t>
  </si>
  <si>
    <t>Sales &amp; Profit Planning</t>
  </si>
  <si>
    <t>Project Cost Planning</t>
  </si>
  <si>
    <t>Estimated Project Cost [kLC]</t>
  </si>
  <si>
    <t>Incremental Cost</t>
  </si>
  <si>
    <t>Estimate Uncertainty</t>
  </si>
  <si>
    <t>Estimated Launch Cost [kLC]</t>
  </si>
  <si>
    <t>Capital Expenditure Year 1 [kLC]</t>
  </si>
  <si>
    <t>Capital Expenditure Year 2 [kLC]</t>
  </si>
  <si>
    <t>Capital Expenditure Year 3 [kLC]</t>
  </si>
  <si>
    <t>Project Cost [kLC]</t>
  </si>
  <si>
    <t>Launch Cost [kLC]</t>
  </si>
  <si>
    <t>Depreciation [kLC]</t>
  </si>
  <si>
    <t>Expenses (best case)</t>
  </si>
  <si>
    <t>Expenses (worst case)</t>
  </si>
  <si>
    <t>Support Cost [kLC]</t>
  </si>
  <si>
    <t>High Intensity Support for 1 year after launch (yes/no)</t>
  </si>
  <si>
    <t>Yes</t>
  </si>
  <si>
    <t>Estimated Project Cost Worst Case [kLC]</t>
  </si>
  <si>
    <t>Estimated Project Cost  Best Case [kLC]</t>
  </si>
  <si>
    <t>Total Expenses best case</t>
  </si>
  <si>
    <t>Total Expenses worst case</t>
  </si>
  <si>
    <t>Business Case best case</t>
  </si>
  <si>
    <t>Business Case worst case</t>
  </si>
  <si>
    <t>Year</t>
  </si>
  <si>
    <t>Incremental Expenses - best case [kLC]</t>
  </si>
  <si>
    <t>Net Cash-Flow best Case</t>
  </si>
  <si>
    <t>Incremental Expenses - worst case [kLC]</t>
  </si>
  <si>
    <t>Net Cash-Flow worst Case</t>
  </si>
  <si>
    <t>Cumulative Cash Flow best case</t>
  </si>
  <si>
    <t>Cumulative Cash Flow worst case</t>
  </si>
  <si>
    <t>Year 0</t>
  </si>
  <si>
    <t>Break Even</t>
  </si>
  <si>
    <t>Worst Case Cumulative Cash Flow</t>
  </si>
  <si>
    <t>Incremental Profit [kLC] (best case)</t>
  </si>
  <si>
    <t>Average Sales Price Next Gen Instrument [kLC] (best case)</t>
  </si>
  <si>
    <t>Average Cost Price Next Instrument [kLC] (best case)</t>
  </si>
  <si>
    <t>Average Cost Price Next Instrument [kLC] (worst case)</t>
  </si>
  <si>
    <t>Average Sales Price Next Gen Instrument [kLC] (worst case)</t>
  </si>
  <si>
    <t>Expected Sales Growth Next Gen Instrument Intro Year (best case)</t>
  </si>
  <si>
    <t>Expected Sales Growth Next Gen Instrument following (best case)</t>
  </si>
  <si>
    <t>Expected Sales Growth Next Gen Instrument Intro Year (worst case)</t>
  </si>
  <si>
    <t>Expected Sales Growth Next Gen Instrument following (worst case)</t>
  </si>
  <si>
    <t>Next Gen Instrument (best case)</t>
  </si>
  <si>
    <t>Next Gen Instrument (worst case)</t>
  </si>
  <si>
    <t>Incremental Profit [kLC] (worst case)</t>
  </si>
  <si>
    <t>high</t>
  </si>
  <si>
    <t>Best Case Cumulative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</si>
</sst>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Red]\-#,##0&quot; €&quot;"/>
  </numFmts>
  <fonts count="14" x14ac:knownFonts="1">
    <font>
      <sz val="12"/>
      <color theme="1"/>
      <name val="Montserrat"/>
    </font>
    <font>
      <sz val="12"/>
      <color theme="1"/>
      <name val="Montserrat"/>
      <family val="2"/>
      <scheme val="minor"/>
    </font>
    <font>
      <sz val="10"/>
      <name val="Verdana"/>
      <family val="2"/>
    </font>
    <font>
      <sz val="20"/>
      <color theme="1"/>
      <name val="Montserrat"/>
    </font>
    <font>
      <sz val="14"/>
      <color theme="1"/>
      <name val="Montserrat"/>
    </font>
    <font>
      <sz val="14"/>
      <name val="Montserrat"/>
    </font>
    <font>
      <sz val="24"/>
      <name val="Montserrat"/>
    </font>
    <font>
      <sz val="11"/>
      <name val="Montserrat"/>
    </font>
    <font>
      <sz val="11"/>
      <color theme="1"/>
      <name val="Montserrat"/>
    </font>
    <font>
      <b/>
      <sz val="11"/>
      <name val="Montserrat"/>
    </font>
    <font>
      <b/>
      <sz val="11"/>
      <color theme="0"/>
      <name val="Montserrat"/>
    </font>
    <font>
      <b/>
      <sz val="11"/>
      <color indexed="9"/>
      <name val="Montserrat"/>
    </font>
    <font>
      <b/>
      <sz val="20"/>
      <name val="Montserrat"/>
    </font>
    <font>
      <b/>
      <sz val="14"/>
      <color theme="0"/>
      <name val="Montserrat"/>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6"/>
        <bgColor indexed="64"/>
      </patternFill>
    </fill>
    <fill>
      <patternFill patternType="solid">
        <fgColor theme="9" tint="0.59999389629810485"/>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50">
    <xf numFmtId="0" fontId="0" fillId="0" borderId="0" xfId="0"/>
    <xf numFmtId="0" fontId="4" fillId="0" borderId="0" xfId="0" applyFont="1"/>
    <xf numFmtId="0" fontId="4" fillId="0" borderId="1" xfId="0" applyFont="1" applyBorder="1"/>
    <xf numFmtId="1" fontId="4" fillId="0" borderId="1" xfId="0" applyNumberFormat="1" applyFont="1" applyBorder="1"/>
    <xf numFmtId="1" fontId="7" fillId="0" borderId="1" xfId="0" applyNumberFormat="1" applyFont="1" applyBorder="1"/>
    <xf numFmtId="1" fontId="7" fillId="6" borderId="1" xfId="0" applyNumberFormat="1" applyFont="1" applyFill="1" applyBorder="1" applyProtection="1">
      <protection locked="0"/>
    </xf>
    <xf numFmtId="1" fontId="7" fillId="0" borderId="1" xfId="3" applyNumberFormat="1" applyFont="1" applyBorder="1" applyProtection="1">
      <protection locked="0" hidden="1"/>
    </xf>
    <xf numFmtId="1" fontId="7" fillId="0" borderId="1" xfId="3" applyNumberFormat="1" applyFont="1" applyBorder="1" applyProtection="1">
      <protection hidden="1"/>
    </xf>
    <xf numFmtId="0" fontId="7" fillId="3" borderId="1" xfId="3" applyFont="1" applyFill="1" applyBorder="1" applyProtection="1">
      <protection hidden="1"/>
    </xf>
    <xf numFmtId="1" fontId="8" fillId="6" borderId="1" xfId="1" applyNumberFormat="1" applyFont="1" applyFill="1" applyBorder="1" applyProtection="1">
      <protection locked="0"/>
    </xf>
    <xf numFmtId="1" fontId="8" fillId="6" borderId="1" xfId="1" applyNumberFormat="1" applyFont="1" applyFill="1" applyBorder="1" applyAlignment="1" applyProtection="1">
      <alignment horizontal="right"/>
      <protection locked="0"/>
    </xf>
    <xf numFmtId="1" fontId="8" fillId="2" borderId="1" xfId="1" applyNumberFormat="1" applyFont="1" applyFill="1" applyBorder="1" applyProtection="1"/>
    <xf numFmtId="1" fontId="8" fillId="6" borderId="1" xfId="0" applyNumberFormat="1" applyFont="1" applyFill="1" applyBorder="1" applyProtection="1">
      <protection locked="0"/>
    </xf>
    <xf numFmtId="0" fontId="7" fillId="0" borderId="1" xfId="0" applyFont="1" applyBorder="1"/>
    <xf numFmtId="0" fontId="9" fillId="3" borderId="1" xfId="3" applyFont="1" applyFill="1" applyBorder="1" applyProtection="1">
      <protection hidden="1"/>
    </xf>
    <xf numFmtId="0" fontId="10" fillId="4" borderId="1" xfId="3" applyFont="1" applyFill="1" applyBorder="1" applyProtection="1">
      <protection hidden="1"/>
    </xf>
    <xf numFmtId="1" fontId="9" fillId="5" borderId="1" xfId="0" applyNumberFormat="1" applyFont="1" applyFill="1" applyBorder="1"/>
    <xf numFmtId="0" fontId="9" fillId="8" borderId="1" xfId="3" applyFont="1" applyFill="1" applyBorder="1" applyProtection="1">
      <protection hidden="1"/>
    </xf>
    <xf numFmtId="1" fontId="9" fillId="9" borderId="1" xfId="0" applyNumberFormat="1" applyFont="1" applyFill="1" applyBorder="1"/>
    <xf numFmtId="0" fontId="11" fillId="7" borderId="1" xfId="2" applyFont="1" applyFill="1" applyBorder="1" applyAlignment="1" applyProtection="1">
      <alignment horizontal="center" vertical="center"/>
      <protection hidden="1"/>
    </xf>
    <xf numFmtId="1" fontId="9" fillId="8" borderId="1" xfId="0" applyNumberFormat="1" applyFont="1" applyFill="1" applyBorder="1"/>
    <xf numFmtId="9" fontId="7" fillId="6" borderId="1" xfId="1" applyFont="1" applyFill="1" applyBorder="1"/>
    <xf numFmtId="164" fontId="7" fillId="0" borderId="1" xfId="0" applyNumberFormat="1" applyFont="1" applyBorder="1"/>
    <xf numFmtId="0" fontId="3" fillId="0" borderId="0" xfId="0" applyFont="1"/>
    <xf numFmtId="0" fontId="7" fillId="2" borderId="0" xfId="3" applyFont="1" applyFill="1" applyProtection="1">
      <protection hidden="1"/>
    </xf>
    <xf numFmtId="1" fontId="8" fillId="2" borderId="0" xfId="0" applyNumberFormat="1" applyFont="1" applyFill="1"/>
    <xf numFmtId="0" fontId="8" fillId="2" borderId="0" xfId="0" applyFont="1" applyFill="1"/>
    <xf numFmtId="0" fontId="4" fillId="2" borderId="0" xfId="0" applyFont="1" applyFill="1"/>
    <xf numFmtId="0" fontId="8" fillId="0" borderId="0" xfId="0" applyFont="1"/>
    <xf numFmtId="0" fontId="9" fillId="2" borderId="0" xfId="3" applyFont="1" applyFill="1" applyProtection="1">
      <protection hidden="1"/>
    </xf>
    <xf numFmtId="1" fontId="9" fillId="2" borderId="0" xfId="0" applyNumberFormat="1" applyFont="1" applyFill="1"/>
    <xf numFmtId="1" fontId="8" fillId="6" borderId="1" xfId="1" applyNumberFormat="1" applyFont="1" applyFill="1" applyBorder="1"/>
    <xf numFmtId="1" fontId="8" fillId="6" borderId="1" xfId="0" applyNumberFormat="1" applyFont="1" applyFill="1" applyBorder="1"/>
    <xf numFmtId="9" fontId="8" fillId="6" borderId="1" xfId="1" applyFont="1" applyFill="1" applyBorder="1" applyProtection="1">
      <protection locked="0"/>
    </xf>
    <xf numFmtId="9" fontId="8" fillId="6" borderId="1" xfId="0" applyNumberFormat="1" applyFont="1" applyFill="1" applyBorder="1" applyProtection="1">
      <protection locked="0"/>
    </xf>
    <xf numFmtId="0" fontId="7" fillId="0" borderId="0" xfId="0" applyFont="1"/>
    <xf numFmtId="0" fontId="5" fillId="0" borderId="0" xfId="0" applyFont="1"/>
    <xf numFmtId="0" fontId="7" fillId="0" borderId="0" xfId="0" applyFont="1" applyAlignment="1">
      <alignment horizontal="left" vertical="center"/>
    </xf>
    <xf numFmtId="9" fontId="7" fillId="0" borderId="0" xfId="0" applyNumberFormat="1" applyFont="1"/>
    <xf numFmtId="0" fontId="6" fillId="0" borderId="0" xfId="0" applyFont="1" applyAlignment="1">
      <alignment horizontal="left"/>
    </xf>
    <xf numFmtId="0" fontId="4" fillId="0" borderId="0" xfId="2" applyFont="1" applyAlignment="1" applyProtection="1">
      <alignment horizontal="center" vertical="center"/>
      <protection hidden="1"/>
    </xf>
    <xf numFmtId="1" fontId="4" fillId="0" borderId="0" xfId="0" applyNumberFormat="1" applyFont="1"/>
    <xf numFmtId="1" fontId="4" fillId="0" borderId="0" xfId="0" quotePrefix="1" applyNumberFormat="1" applyFont="1"/>
    <xf numFmtId="0" fontId="4" fillId="3" borderId="1" xfId="0" applyFont="1" applyFill="1" applyBorder="1"/>
    <xf numFmtId="0" fontId="11" fillId="7" borderId="1" xfId="2" applyFont="1" applyFill="1" applyBorder="1" applyAlignment="1" applyProtection="1">
      <alignment horizontal="left" vertical="center"/>
      <protection hidden="1"/>
    </xf>
    <xf numFmtId="0" fontId="13" fillId="7" borderId="1" xfId="0" applyFont="1" applyFill="1" applyBorder="1" applyAlignment="1">
      <alignment vertical="top"/>
    </xf>
    <xf numFmtId="0" fontId="13" fillId="7" borderId="1" xfId="0" applyFont="1" applyFill="1" applyBorder="1" applyAlignment="1">
      <alignment wrapText="1"/>
    </xf>
    <xf numFmtId="0" fontId="13" fillId="7" borderId="1" xfId="0" applyFont="1" applyFill="1" applyBorder="1"/>
    <xf numFmtId="0" fontId="12" fillId="0" borderId="0" xfId="0" applyFont="1" applyAlignment="1">
      <alignment horizontal="left"/>
    </xf>
    <xf numFmtId="0" fontId="3" fillId="0" borderId="0" xfId="0" applyFont="1"/>
  </cellXfs>
  <cellStyles count="4">
    <cellStyle name="Normal" xfId="0" builtinId="0" customBuiltin="1"/>
    <cellStyle name="Per cent" xfId="1" builtinId="5"/>
    <cellStyle name="Standard 3" xfId="3" xr:uid="{A61F341B-C2F3-9B4F-BE7F-41AC81F6CD78}"/>
    <cellStyle name="Standard 4" xfId="2" xr:uid="{3DA6C83C-ABEF-404D-BA5F-79B8D12EB97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GB"/>
              <a:t>Payback Analysis Best Case &amp; Worst Case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CH"/>
        </a:p>
      </c:txPr>
    </c:title>
    <c:autoTitleDeleted val="0"/>
    <c:plotArea>
      <c:layout/>
      <c:scatterChart>
        <c:scatterStyle val="lineMarker"/>
        <c:varyColors val="0"/>
        <c:ser>
          <c:idx val="1"/>
          <c:order val="0"/>
          <c:tx>
            <c:strRef>
              <c:f>Payback!$A$11</c:f>
              <c:strCache>
                <c:ptCount val="1"/>
                <c:pt idx="0">
                  <c:v>Cumulative Cash Flow best case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xVal>
            <c:strRef>
              <c:f>Payback!$A$17:$A$24</c:f>
              <c:strCache>
                <c:ptCount val="8"/>
                <c:pt idx="0">
                  <c:v>Year 1</c:v>
                </c:pt>
                <c:pt idx="1">
                  <c:v>Year 2</c:v>
                </c:pt>
                <c:pt idx="2">
                  <c:v>Year 3</c:v>
                </c:pt>
                <c:pt idx="3">
                  <c:v>Year 4</c:v>
                </c:pt>
                <c:pt idx="4">
                  <c:v>Year 5</c:v>
                </c:pt>
                <c:pt idx="5">
                  <c:v>Year 6</c:v>
                </c:pt>
                <c:pt idx="6">
                  <c:v>Year 7</c:v>
                </c:pt>
                <c:pt idx="7">
                  <c:v>Year 8</c:v>
                </c:pt>
              </c:strCache>
            </c:strRef>
          </c:xVal>
          <c:yVal>
            <c:numRef>
              <c:f>Payback!$B$17:$B$24</c:f>
              <c:numCache>
                <c:formatCode>0</c:formatCode>
                <c:ptCount val="8"/>
                <c:pt idx="0">
                  <c:v>-1610</c:v>
                </c:pt>
                <c:pt idx="1">
                  <c:v>-3240</c:v>
                </c:pt>
                <c:pt idx="2">
                  <c:v>-2716.7999999999993</c:v>
                </c:pt>
                <c:pt idx="3">
                  <c:v>-837.93999999999869</c:v>
                </c:pt>
                <c:pt idx="4">
                  <c:v>1819.0060000000012</c:v>
                </c:pt>
                <c:pt idx="5">
                  <c:v>5283.5266000000029</c:v>
                </c:pt>
                <c:pt idx="6">
                  <c:v>9592.891260000004</c:v>
                </c:pt>
                <c:pt idx="7">
                  <c:v>14802.345186000006</c:v>
                </c:pt>
              </c:numCache>
            </c:numRef>
          </c:yVal>
          <c:smooth val="0"/>
          <c:extLst>
            <c:ext xmlns:c16="http://schemas.microsoft.com/office/drawing/2014/chart" uri="{C3380CC4-5D6E-409C-BE32-E72D297353CC}">
              <c16:uniqueId val="{00000001-0883-BA44-962D-F0B6A34AEFD1}"/>
            </c:ext>
          </c:extLst>
        </c:ser>
        <c:ser>
          <c:idx val="2"/>
          <c:order val="1"/>
          <c:tx>
            <c:strRef>
              <c:f>Payback!$A$13</c:f>
              <c:strCache>
                <c:ptCount val="1"/>
                <c:pt idx="0">
                  <c:v>Cumulative Cash Flow worst case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xVal>
            <c:strRef>
              <c:f>Payback!$A$17:$A$24</c:f>
              <c:strCache>
                <c:ptCount val="8"/>
                <c:pt idx="0">
                  <c:v>Year 1</c:v>
                </c:pt>
                <c:pt idx="1">
                  <c:v>Year 2</c:v>
                </c:pt>
                <c:pt idx="2">
                  <c:v>Year 3</c:v>
                </c:pt>
                <c:pt idx="3">
                  <c:v>Year 4</c:v>
                </c:pt>
                <c:pt idx="4">
                  <c:v>Year 5</c:v>
                </c:pt>
                <c:pt idx="5">
                  <c:v>Year 6</c:v>
                </c:pt>
                <c:pt idx="6">
                  <c:v>Year 7</c:v>
                </c:pt>
                <c:pt idx="7">
                  <c:v>Year 8</c:v>
                </c:pt>
              </c:strCache>
            </c:strRef>
          </c:xVal>
          <c:yVal>
            <c:numRef>
              <c:f>Payback!$C$17:$C$24</c:f>
              <c:numCache>
                <c:formatCode>0</c:formatCode>
                <c:ptCount val="8"/>
                <c:pt idx="0">
                  <c:v>-2410</c:v>
                </c:pt>
                <c:pt idx="1">
                  <c:v>-4840</c:v>
                </c:pt>
                <c:pt idx="2">
                  <c:v>-5407.8</c:v>
                </c:pt>
                <c:pt idx="3">
                  <c:v>-4576.7559999999994</c:v>
                </c:pt>
                <c:pt idx="4">
                  <c:v>-3072.4075999999995</c:v>
                </c:pt>
                <c:pt idx="5">
                  <c:v>-875.74435999999832</c:v>
                </c:pt>
                <c:pt idx="6">
                  <c:v>2038.9772040000034</c:v>
                </c:pt>
                <c:pt idx="7">
                  <c:v>5714.3237244000047</c:v>
                </c:pt>
              </c:numCache>
            </c:numRef>
          </c:yVal>
          <c:smooth val="0"/>
          <c:extLst>
            <c:ext xmlns:c16="http://schemas.microsoft.com/office/drawing/2014/chart" uri="{C3380CC4-5D6E-409C-BE32-E72D297353CC}">
              <c16:uniqueId val="{00000002-0883-BA44-962D-F0B6A34AEFD1}"/>
            </c:ext>
          </c:extLst>
        </c:ser>
        <c:ser>
          <c:idx val="0"/>
          <c:order val="2"/>
          <c:tx>
            <c:strRef>
              <c:f>Payback!$D$16</c:f>
              <c:strCache>
                <c:ptCount val="1"/>
                <c:pt idx="0">
                  <c:v>Break Even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xVal>
            <c:strRef>
              <c:f>Payback!$A$17:$A$24</c:f>
              <c:strCache>
                <c:ptCount val="8"/>
                <c:pt idx="0">
                  <c:v>Year 1</c:v>
                </c:pt>
                <c:pt idx="1">
                  <c:v>Year 2</c:v>
                </c:pt>
                <c:pt idx="2">
                  <c:v>Year 3</c:v>
                </c:pt>
                <c:pt idx="3">
                  <c:v>Year 4</c:v>
                </c:pt>
                <c:pt idx="4">
                  <c:v>Year 5</c:v>
                </c:pt>
                <c:pt idx="5">
                  <c:v>Year 6</c:v>
                </c:pt>
                <c:pt idx="6">
                  <c:v>Year 7</c:v>
                </c:pt>
                <c:pt idx="7">
                  <c:v>Year 8</c:v>
                </c:pt>
              </c:strCache>
            </c:strRef>
          </c:xVal>
          <c:yVal>
            <c:numRef>
              <c:f>Payback!$D$17:$D$24</c:f>
              <c:numCache>
                <c:formatCode>General</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3-0883-BA44-962D-F0B6A34AEFD1}"/>
            </c:ext>
          </c:extLst>
        </c:ser>
        <c:dLbls>
          <c:showLegendKey val="0"/>
          <c:showVal val="0"/>
          <c:showCatName val="0"/>
          <c:showSerName val="0"/>
          <c:showPercent val="0"/>
          <c:showBubbleSize val="0"/>
        </c:dLbls>
        <c:axId val="1783605696"/>
        <c:axId val="1999680447"/>
      </c:scatterChart>
      <c:valAx>
        <c:axId val="1783605696"/>
        <c:scaling>
          <c:orientation val="minMax"/>
          <c:max val="8"/>
          <c:min val="1"/>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a:t>Years from Project Kick-Off</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GB"/>
            </a:p>
          </c:txPr>
        </c:title>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H"/>
          </a:p>
        </c:txPr>
        <c:crossAx val="1999680447"/>
        <c:crosses val="max"/>
        <c:crossBetween val="midCat"/>
      </c:valAx>
      <c:valAx>
        <c:axId val="1999680447"/>
        <c:scaling>
          <c:orientation val="minMax"/>
          <c:max val="7000"/>
          <c:min val="-6000"/>
        </c:scaling>
        <c:delete val="0"/>
        <c:axPos val="l"/>
        <c:majorGridlines>
          <c:spPr>
            <a:ln w="12700" cap="flat" cmpd="sng" algn="ctr">
              <a:solidFill>
                <a:schemeClr val="accent2">
                  <a:lumMod val="50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a:t>Cumulative Cashflow in[kLC] </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GB"/>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H"/>
          </a:p>
        </c:txPr>
        <c:crossAx val="1783605696"/>
        <c:crossesAt val="0"/>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sz="1200">
          <a:latin typeface="+mn-lt"/>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952500</xdr:colOff>
      <xdr:row>2</xdr:row>
      <xdr:rowOff>25400</xdr:rowOff>
    </xdr:from>
    <xdr:to>
      <xdr:col>5</xdr:col>
      <xdr:colOff>1041400</xdr:colOff>
      <xdr:row>7</xdr:row>
      <xdr:rowOff>292100</xdr:rowOff>
    </xdr:to>
    <xdr:sp macro="" textlink="">
      <xdr:nvSpPr>
        <xdr:cNvPr id="2" name="TextBox 1">
          <a:extLst>
            <a:ext uri="{FF2B5EF4-FFF2-40B4-BE49-F238E27FC236}">
              <a16:creationId xmlns:a16="http://schemas.microsoft.com/office/drawing/2014/main" id="{A0DCB0A9-7A2A-FF3C-46AC-5496743B015A}"/>
            </a:ext>
          </a:extLst>
        </xdr:cNvPr>
        <xdr:cNvSpPr txBox="1"/>
      </xdr:nvSpPr>
      <xdr:spPr>
        <a:xfrm>
          <a:off x="8521700" y="711200"/>
          <a:ext cx="4165600" cy="2057400"/>
        </a:xfrm>
        <a:prstGeom prst="rect">
          <a:avLst/>
        </a:prstGeom>
        <a:solidFill>
          <a:schemeClr val="accent5">
            <a:lumMod val="40000"/>
            <a:lumOff val="60000"/>
            <a:alpha val="5023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mn-lt"/>
            </a:rPr>
            <a:t>Predict</a:t>
          </a:r>
          <a:r>
            <a:rPr lang="en-GB" sz="800" baseline="0">
              <a:latin typeface="+mn-lt"/>
            </a:rPr>
            <a:t> the sales growth/decline of legacy instruments and of the Next Gen Instrument after introduction. Typically, Next Gen Instruments experience faster growth in the first year after introduction. Thats why tehre are two separate growth rates.</a:t>
          </a:r>
          <a:br>
            <a:rPr lang="en-GB" sz="800" baseline="0">
              <a:latin typeface="+mn-lt"/>
            </a:rPr>
          </a:br>
          <a:endParaRPr lang="en-GB" sz="800" baseline="0">
            <a:latin typeface="+mn-lt"/>
          </a:endParaRPr>
        </a:p>
        <a:p>
          <a:r>
            <a:rPr lang="en-GB" sz="800" baseline="0">
              <a:latin typeface="+mn-lt"/>
            </a:rPr>
            <a:t>The model assumes a best case and a worts case, so growth is different for these. This allows to understand the sensitivities for the business case.</a:t>
          </a:r>
        </a:p>
        <a:p>
          <a:endParaRPr lang="en-GB" sz="800" baseline="0">
            <a:latin typeface="+mn-lt"/>
          </a:endParaRPr>
        </a:p>
        <a:p>
          <a:r>
            <a:rPr lang="en-GB" sz="800" baseline="0">
              <a:latin typeface="+mn-lt"/>
            </a:rPr>
            <a:t>Project duration can be chosen between 1 and 3 years.</a:t>
          </a:r>
        </a:p>
      </xdr:txBody>
    </xdr:sp>
    <xdr:clientData/>
  </xdr:twoCellAnchor>
  <xdr:twoCellAnchor>
    <xdr:from>
      <xdr:col>2</xdr:col>
      <xdr:colOff>939800</xdr:colOff>
      <xdr:row>9</xdr:row>
      <xdr:rowOff>12700</xdr:rowOff>
    </xdr:from>
    <xdr:to>
      <xdr:col>5</xdr:col>
      <xdr:colOff>1028700</xdr:colOff>
      <xdr:row>12</xdr:row>
      <xdr:rowOff>241300</xdr:rowOff>
    </xdr:to>
    <xdr:sp macro="" textlink="">
      <xdr:nvSpPr>
        <xdr:cNvPr id="3" name="TextBox 2">
          <a:extLst>
            <a:ext uri="{FF2B5EF4-FFF2-40B4-BE49-F238E27FC236}">
              <a16:creationId xmlns:a16="http://schemas.microsoft.com/office/drawing/2014/main" id="{FA2262B5-D9BD-A345-BDCE-12E77DF93017}"/>
            </a:ext>
          </a:extLst>
        </xdr:cNvPr>
        <xdr:cNvSpPr txBox="1"/>
      </xdr:nvSpPr>
      <xdr:spPr>
        <a:xfrm>
          <a:off x="8509000" y="3149600"/>
          <a:ext cx="4165600" cy="1244600"/>
        </a:xfrm>
        <a:prstGeom prst="rect">
          <a:avLst/>
        </a:prstGeom>
        <a:solidFill>
          <a:schemeClr val="accent5">
            <a:lumMod val="40000"/>
            <a:lumOff val="60000"/>
            <a:alpha val="5023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mn-lt"/>
            </a:rPr>
            <a:t>Average sales price and cost are necessary to estimate</a:t>
          </a:r>
          <a:r>
            <a:rPr lang="en-GB" sz="800" baseline="0">
              <a:latin typeface="+mn-lt"/>
            </a:rPr>
            <a:t> the cash-flow. Naturally, these will be different beztween legacy instruments and Next Gen Instruments.</a:t>
          </a:r>
        </a:p>
        <a:p>
          <a:endParaRPr lang="en-GB" sz="800" baseline="0">
            <a:latin typeface="+mn-lt"/>
          </a:endParaRPr>
        </a:p>
        <a:p>
          <a:r>
            <a:rPr lang="en-GB" sz="800" baseline="0">
              <a:latin typeface="+mn-lt"/>
            </a:rPr>
            <a:t>Again, you can fill in different values for a best case and a worst case.</a:t>
          </a:r>
        </a:p>
      </xdr:txBody>
    </xdr:sp>
    <xdr:clientData/>
  </xdr:twoCellAnchor>
  <xdr:twoCellAnchor>
    <xdr:from>
      <xdr:col>3</xdr:col>
      <xdr:colOff>0</xdr:colOff>
      <xdr:row>14</xdr:row>
      <xdr:rowOff>0</xdr:rowOff>
    </xdr:from>
    <xdr:to>
      <xdr:col>6</xdr:col>
      <xdr:colOff>0</xdr:colOff>
      <xdr:row>16</xdr:row>
      <xdr:rowOff>19050</xdr:rowOff>
    </xdr:to>
    <xdr:sp macro="" textlink="">
      <xdr:nvSpPr>
        <xdr:cNvPr id="4" name="TextBox 3">
          <a:extLst>
            <a:ext uri="{FF2B5EF4-FFF2-40B4-BE49-F238E27FC236}">
              <a16:creationId xmlns:a16="http://schemas.microsoft.com/office/drawing/2014/main" id="{3A0A3B3C-F31A-EE46-A0D9-478707CB7475}"/>
            </a:ext>
          </a:extLst>
        </xdr:cNvPr>
        <xdr:cNvSpPr txBox="1"/>
      </xdr:nvSpPr>
      <xdr:spPr>
        <a:xfrm>
          <a:off x="6762750" y="4603750"/>
          <a:ext cx="2609850" cy="571500"/>
        </a:xfrm>
        <a:prstGeom prst="rect">
          <a:avLst/>
        </a:prstGeom>
        <a:solidFill>
          <a:schemeClr val="accent5">
            <a:lumMod val="40000"/>
            <a:lumOff val="60000"/>
            <a:alpha val="5023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mn-lt"/>
            </a:rPr>
            <a:t>Finally, the model needs to know the current unit sales of the legacy instrument</a:t>
          </a:r>
          <a:r>
            <a:rPr lang="en-GB" sz="800" baseline="0">
              <a:latin typeface="+mn-lt"/>
            </a:rPr>
            <a:t> in order to model unit number development as the basis for incremental cash-flow.</a:t>
          </a:r>
        </a:p>
      </xdr:txBody>
    </xdr:sp>
    <xdr:clientData/>
  </xdr:twoCellAnchor>
  <xdr:twoCellAnchor editAs="oneCell">
    <xdr:from>
      <xdr:col>7</xdr:col>
      <xdr:colOff>126132</xdr:colOff>
      <xdr:row>0</xdr:row>
      <xdr:rowOff>4234</xdr:rowOff>
    </xdr:from>
    <xdr:to>
      <xdr:col>8</xdr:col>
      <xdr:colOff>868533</xdr:colOff>
      <xdr:row>0</xdr:row>
      <xdr:rowOff>334433</xdr:rowOff>
    </xdr:to>
    <xdr:pic>
      <xdr:nvPicPr>
        <xdr:cNvPr id="6" name="Grafik 5">
          <a:extLst>
            <a:ext uri="{FF2B5EF4-FFF2-40B4-BE49-F238E27FC236}">
              <a16:creationId xmlns:a16="http://schemas.microsoft.com/office/drawing/2014/main" id="{928E03DB-3B01-6757-AF6C-0B63B2A1AA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3499" y="4234"/>
          <a:ext cx="1614467" cy="330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393700</xdr:colOff>
      <xdr:row>2</xdr:row>
      <xdr:rowOff>0</xdr:rowOff>
    </xdr:from>
    <xdr:to>
      <xdr:col>6</xdr:col>
      <xdr:colOff>393700</xdr:colOff>
      <xdr:row>8</xdr:row>
      <xdr:rowOff>6350</xdr:rowOff>
    </xdr:to>
    <xdr:sp macro="" textlink="">
      <xdr:nvSpPr>
        <xdr:cNvPr id="2" name="TextBox 1">
          <a:extLst>
            <a:ext uri="{FF2B5EF4-FFF2-40B4-BE49-F238E27FC236}">
              <a16:creationId xmlns:a16="http://schemas.microsoft.com/office/drawing/2014/main" id="{25E8C08D-7BB5-FD49-9EDC-9CDD52D1418A}"/>
            </a:ext>
          </a:extLst>
        </xdr:cNvPr>
        <xdr:cNvSpPr txBox="1"/>
      </xdr:nvSpPr>
      <xdr:spPr>
        <a:xfrm>
          <a:off x="6750050" y="1282700"/>
          <a:ext cx="3479800" cy="1644650"/>
        </a:xfrm>
        <a:prstGeom prst="rect">
          <a:avLst/>
        </a:prstGeom>
        <a:solidFill>
          <a:schemeClr val="accent5">
            <a:lumMod val="40000"/>
            <a:lumOff val="60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mn-lt"/>
            </a:rPr>
            <a:t>Here we enter the project cost  estimate and also an estimate</a:t>
          </a:r>
          <a:r>
            <a:rPr lang="en-GB" sz="800" baseline="0">
              <a:latin typeface="+mn-lt"/>
            </a:rPr>
            <a:t> uncertainty, This can be high, medium or low. </a:t>
          </a:r>
        </a:p>
        <a:p>
          <a:endParaRPr lang="en-GB" sz="800" baseline="0">
            <a:latin typeface="+mn-lt"/>
          </a:endParaRPr>
        </a:p>
        <a:p>
          <a:r>
            <a:rPr lang="en-GB" sz="800" baseline="0">
              <a:latin typeface="+mn-lt"/>
            </a:rPr>
            <a:t>Some projects require high support for teh first year after introduction, particularly software rich projects.</a:t>
          </a:r>
        </a:p>
        <a:p>
          <a:endParaRPr lang="en-GB" sz="800" baseline="0">
            <a:latin typeface="+mn-lt"/>
          </a:endParaRPr>
        </a:p>
        <a:p>
          <a:r>
            <a:rPr lang="en-GB" sz="800" baseline="0">
              <a:latin typeface="+mn-lt"/>
            </a:rPr>
            <a:t>We also specify estimated launch cost for marketing, training,  demo equipment etc..</a:t>
          </a:r>
        </a:p>
        <a:p>
          <a:endParaRPr lang="en-GB" sz="800" baseline="0">
            <a:latin typeface="+mn-lt"/>
          </a:endParaRPr>
        </a:p>
        <a:p>
          <a:r>
            <a:rPr lang="en-GB" sz="800" baseline="0">
              <a:latin typeface="+mn-lt"/>
            </a:rPr>
            <a:t>We can also add some capital expenditure for tooling or if we want to activate some of the R&amp;D expenditure. This is written off over 5 years.</a:t>
          </a:r>
        </a:p>
      </xdr:txBody>
    </xdr:sp>
    <xdr:clientData/>
  </xdr:twoCellAnchor>
  <xdr:twoCellAnchor editAs="oneCell">
    <xdr:from>
      <xdr:col>7</xdr:col>
      <xdr:colOff>131233</xdr:colOff>
      <xdr:row>0</xdr:row>
      <xdr:rowOff>0</xdr:rowOff>
    </xdr:from>
    <xdr:to>
      <xdr:col>9</xdr:col>
      <xdr:colOff>1567</xdr:colOff>
      <xdr:row>0</xdr:row>
      <xdr:rowOff>330199</xdr:rowOff>
    </xdr:to>
    <xdr:pic>
      <xdr:nvPicPr>
        <xdr:cNvPr id="5" name="Grafik 4">
          <a:extLst>
            <a:ext uri="{FF2B5EF4-FFF2-40B4-BE49-F238E27FC236}">
              <a16:creationId xmlns:a16="http://schemas.microsoft.com/office/drawing/2014/main" id="{6857E30A-3A7E-46B5-886E-C551BF967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3700" y="0"/>
          <a:ext cx="1614467" cy="330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495300</xdr:colOff>
      <xdr:row>2</xdr:row>
      <xdr:rowOff>127000</xdr:rowOff>
    </xdr:from>
    <xdr:to>
      <xdr:col>7</xdr:col>
      <xdr:colOff>342900</xdr:colOff>
      <xdr:row>6</xdr:row>
      <xdr:rowOff>266700</xdr:rowOff>
    </xdr:to>
    <xdr:sp macro="" textlink="">
      <xdr:nvSpPr>
        <xdr:cNvPr id="2" name="TextBox 1">
          <a:extLst>
            <a:ext uri="{FF2B5EF4-FFF2-40B4-BE49-F238E27FC236}">
              <a16:creationId xmlns:a16="http://schemas.microsoft.com/office/drawing/2014/main" id="{7BCAE163-F626-35ED-E436-2C931B4DF899}"/>
            </a:ext>
          </a:extLst>
        </xdr:cNvPr>
        <xdr:cNvSpPr txBox="1"/>
      </xdr:nvSpPr>
      <xdr:spPr>
        <a:xfrm>
          <a:off x="6070600" y="1409700"/>
          <a:ext cx="4197350" cy="1117600"/>
        </a:xfrm>
        <a:prstGeom prst="rect">
          <a:avLst/>
        </a:prstGeom>
        <a:solidFill>
          <a:schemeClr val="accent5">
            <a:lumMod val="40000"/>
            <a:lumOff val="60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mn-lt"/>
            </a:rPr>
            <a:t>Capital Cost depends on the project risk.</a:t>
          </a:r>
          <a:r>
            <a:rPr lang="en-GB" sz="800" baseline="0">
              <a:latin typeface="+mn-lt"/>
            </a:rPr>
            <a:t> These are typical values used:</a:t>
          </a:r>
          <a:br>
            <a:rPr lang="en-GB" sz="800" baseline="0">
              <a:latin typeface="+mn-lt"/>
            </a:rPr>
          </a:br>
          <a:endParaRPr lang="en-GB" sz="800">
            <a:latin typeface="+mn-lt"/>
          </a:endParaRPr>
        </a:p>
        <a:p>
          <a:r>
            <a:rPr lang="en-GB" sz="800" b="1">
              <a:latin typeface="+mn-lt"/>
            </a:rPr>
            <a:t>Corporate/Industrial Projects</a:t>
          </a:r>
          <a:r>
            <a:rPr lang="en-GB" sz="800">
              <a:latin typeface="+mn-lt"/>
            </a:rPr>
            <a:t>: 6–10%</a:t>
          </a:r>
        </a:p>
        <a:p>
          <a:r>
            <a:rPr lang="en-GB" sz="800" b="1">
              <a:latin typeface="+mn-lt"/>
            </a:rPr>
            <a:t>Infrastructure Projects</a:t>
          </a:r>
          <a:r>
            <a:rPr lang="en-GB" sz="800">
              <a:latin typeface="+mn-lt"/>
            </a:rPr>
            <a:t>: 5–8%</a:t>
          </a:r>
        </a:p>
        <a:p>
          <a:r>
            <a:rPr lang="en-GB" sz="800" b="1">
              <a:latin typeface="+mn-lt"/>
            </a:rPr>
            <a:t>Tech Startups</a:t>
          </a:r>
          <a:r>
            <a:rPr lang="en-GB" sz="800">
              <a:latin typeface="+mn-lt"/>
            </a:rPr>
            <a:t>: 10–20% (higher risk = higher cost of capital)</a:t>
          </a:r>
        </a:p>
        <a:p>
          <a:r>
            <a:rPr lang="en-GB" sz="800" b="1">
              <a:latin typeface="+mn-lt"/>
            </a:rPr>
            <a:t>Pharma/Biotech R&amp;D</a:t>
          </a:r>
          <a:r>
            <a:rPr lang="en-GB" sz="800">
              <a:latin typeface="+mn-lt"/>
            </a:rPr>
            <a:t>: 10–15%</a:t>
          </a:r>
        </a:p>
        <a:p>
          <a:r>
            <a:rPr lang="en-GB" sz="800" b="1">
              <a:latin typeface="+mn-lt"/>
            </a:rPr>
            <a:t>Life Science Tools Companies</a:t>
          </a:r>
          <a:r>
            <a:rPr lang="en-GB" sz="800">
              <a:latin typeface="+mn-lt"/>
            </a:rPr>
            <a:t>: often around 8–12%, depending on risk </a:t>
          </a:r>
          <a:r>
            <a:rPr lang="en-GB" sz="800"/>
            <a:t>profile</a:t>
          </a:r>
        </a:p>
        <a:p>
          <a:endParaRPr lang="en-GB" sz="800">
            <a:latin typeface="Avenir Book" panose="02000503020000020003" pitchFamily="2" charset="0"/>
          </a:endParaRPr>
        </a:p>
      </xdr:txBody>
    </xdr:sp>
    <xdr:clientData/>
  </xdr:twoCellAnchor>
  <xdr:twoCellAnchor editAs="oneCell">
    <xdr:from>
      <xdr:col>7</xdr:col>
      <xdr:colOff>143933</xdr:colOff>
      <xdr:row>0</xdr:row>
      <xdr:rowOff>0</xdr:rowOff>
    </xdr:from>
    <xdr:to>
      <xdr:col>9</xdr:col>
      <xdr:colOff>14267</xdr:colOff>
      <xdr:row>0</xdr:row>
      <xdr:rowOff>330199</xdr:rowOff>
    </xdr:to>
    <xdr:pic>
      <xdr:nvPicPr>
        <xdr:cNvPr id="4" name="Grafik 3">
          <a:extLst>
            <a:ext uri="{FF2B5EF4-FFF2-40B4-BE49-F238E27FC236}">
              <a16:creationId xmlns:a16="http://schemas.microsoft.com/office/drawing/2014/main" id="{DFF30858-3DF9-4057-887D-BBDD0BFD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6400" y="0"/>
          <a:ext cx="1614467" cy="330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127000</xdr:colOff>
      <xdr:row>2</xdr:row>
      <xdr:rowOff>0</xdr:rowOff>
    </xdr:from>
    <xdr:ext cx="3746500" cy="1447800"/>
    <xdr:sp macro="" textlink="">
      <xdr:nvSpPr>
        <xdr:cNvPr id="2" name="TextBox 1">
          <a:extLst>
            <a:ext uri="{FF2B5EF4-FFF2-40B4-BE49-F238E27FC236}">
              <a16:creationId xmlns:a16="http://schemas.microsoft.com/office/drawing/2014/main" id="{9A1C60F7-0CD8-D665-F907-0899AD87F6EC}"/>
            </a:ext>
          </a:extLst>
        </xdr:cNvPr>
        <xdr:cNvSpPr txBox="1"/>
      </xdr:nvSpPr>
      <xdr:spPr>
        <a:xfrm>
          <a:off x="6375400" y="965200"/>
          <a:ext cx="3746500" cy="144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twoCellAnchor>
    <xdr:from>
      <xdr:col>2</xdr:col>
      <xdr:colOff>457200</xdr:colOff>
      <xdr:row>2</xdr:row>
      <xdr:rowOff>127000</xdr:rowOff>
    </xdr:from>
    <xdr:to>
      <xdr:col>7</xdr:col>
      <xdr:colOff>31750</xdr:colOff>
      <xdr:row>6</xdr:row>
      <xdr:rowOff>241300</xdr:rowOff>
    </xdr:to>
    <xdr:sp macro="" textlink="">
      <xdr:nvSpPr>
        <xdr:cNvPr id="3" name="TextBox 2">
          <a:extLst>
            <a:ext uri="{FF2B5EF4-FFF2-40B4-BE49-F238E27FC236}">
              <a16:creationId xmlns:a16="http://schemas.microsoft.com/office/drawing/2014/main" id="{5AE40916-53AC-EB40-ABA9-159759B5B72B}"/>
            </a:ext>
          </a:extLst>
        </xdr:cNvPr>
        <xdr:cNvSpPr txBox="1"/>
      </xdr:nvSpPr>
      <xdr:spPr>
        <a:xfrm>
          <a:off x="6032500" y="1409700"/>
          <a:ext cx="3924300" cy="1092200"/>
        </a:xfrm>
        <a:prstGeom prst="rect">
          <a:avLst/>
        </a:prstGeom>
        <a:solidFill>
          <a:schemeClr val="accent5">
            <a:lumMod val="40000"/>
            <a:lumOff val="60000"/>
            <a:alpha val="50005"/>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mn-lt"/>
            </a:rPr>
            <a:t>Capital Cost depends on the project risk.</a:t>
          </a:r>
          <a:r>
            <a:rPr lang="en-GB" sz="800" baseline="0">
              <a:latin typeface="+mn-lt"/>
            </a:rPr>
            <a:t> These ar typical values used:</a:t>
          </a:r>
          <a:br>
            <a:rPr lang="en-GB" sz="800" baseline="0">
              <a:latin typeface="+mn-lt"/>
            </a:rPr>
          </a:br>
          <a:endParaRPr lang="en-GB" sz="800">
            <a:latin typeface="+mn-lt"/>
          </a:endParaRPr>
        </a:p>
        <a:p>
          <a:r>
            <a:rPr lang="en-GB" sz="800" b="1">
              <a:latin typeface="+mn-lt"/>
            </a:rPr>
            <a:t>Corporate/Industrial Projects</a:t>
          </a:r>
          <a:r>
            <a:rPr lang="en-GB" sz="800">
              <a:latin typeface="+mn-lt"/>
            </a:rPr>
            <a:t>: 6–10%</a:t>
          </a:r>
        </a:p>
        <a:p>
          <a:r>
            <a:rPr lang="en-GB" sz="800" b="1">
              <a:latin typeface="+mn-lt"/>
            </a:rPr>
            <a:t>Infrastructure Projects</a:t>
          </a:r>
          <a:r>
            <a:rPr lang="en-GB" sz="800">
              <a:latin typeface="+mn-lt"/>
            </a:rPr>
            <a:t>: 5–8%</a:t>
          </a:r>
        </a:p>
        <a:p>
          <a:r>
            <a:rPr lang="en-GB" sz="800" b="1">
              <a:latin typeface="+mn-lt"/>
            </a:rPr>
            <a:t>Tech Startups</a:t>
          </a:r>
          <a:r>
            <a:rPr lang="en-GB" sz="800">
              <a:latin typeface="+mn-lt"/>
            </a:rPr>
            <a:t>: 10–20% (higher risk = higher cost of capital)</a:t>
          </a:r>
        </a:p>
        <a:p>
          <a:r>
            <a:rPr lang="en-GB" sz="800" b="1">
              <a:latin typeface="+mn-lt"/>
            </a:rPr>
            <a:t>Pharma/Biotech R&amp;D</a:t>
          </a:r>
          <a:r>
            <a:rPr lang="en-GB" sz="800">
              <a:latin typeface="+mn-lt"/>
            </a:rPr>
            <a:t>: 10–15%</a:t>
          </a:r>
        </a:p>
        <a:p>
          <a:r>
            <a:rPr lang="en-GB" sz="800" b="1">
              <a:latin typeface="+mn-lt"/>
            </a:rPr>
            <a:t>Life Science Tools Companies</a:t>
          </a:r>
          <a:r>
            <a:rPr lang="en-GB" sz="800">
              <a:latin typeface="+mn-lt"/>
            </a:rPr>
            <a:t>: often around 8–12%, depending on risk profile</a:t>
          </a:r>
        </a:p>
        <a:p>
          <a:endParaRPr lang="en-GB" sz="800">
            <a:latin typeface="+mn-lt"/>
          </a:endParaRPr>
        </a:p>
      </xdr:txBody>
    </xdr:sp>
    <xdr:clientData/>
  </xdr:twoCellAnchor>
  <xdr:twoCellAnchor editAs="oneCell">
    <xdr:from>
      <xdr:col>7</xdr:col>
      <xdr:colOff>139699</xdr:colOff>
      <xdr:row>0</xdr:row>
      <xdr:rowOff>0</xdr:rowOff>
    </xdr:from>
    <xdr:to>
      <xdr:col>9</xdr:col>
      <xdr:colOff>10033</xdr:colOff>
      <xdr:row>0</xdr:row>
      <xdr:rowOff>330199</xdr:rowOff>
    </xdr:to>
    <xdr:pic>
      <xdr:nvPicPr>
        <xdr:cNvPr id="5" name="Grafik 4">
          <a:extLst>
            <a:ext uri="{FF2B5EF4-FFF2-40B4-BE49-F238E27FC236}">
              <a16:creationId xmlns:a16="http://schemas.microsoft.com/office/drawing/2014/main" id="{E8276A2D-E253-4DC3-B491-EEDC2518F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2166" y="0"/>
          <a:ext cx="1614467" cy="330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254001</xdr:rowOff>
    </xdr:from>
    <xdr:to>
      <xdr:col>4</xdr:col>
      <xdr:colOff>5304</xdr:colOff>
      <xdr:row>43</xdr:row>
      <xdr:rowOff>118141</xdr:rowOff>
    </xdr:to>
    <xdr:graphicFrame macro="">
      <xdr:nvGraphicFramePr>
        <xdr:cNvPr id="3" name="Chart 2">
          <a:extLst>
            <a:ext uri="{FF2B5EF4-FFF2-40B4-BE49-F238E27FC236}">
              <a16:creationId xmlns:a16="http://schemas.microsoft.com/office/drawing/2014/main" id="{D4A9C0FB-2FEE-E571-E821-2230776D49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994834</xdr:colOff>
      <xdr:row>0</xdr:row>
      <xdr:rowOff>0</xdr:rowOff>
    </xdr:from>
    <xdr:to>
      <xdr:col>4</xdr:col>
      <xdr:colOff>10034</xdr:colOff>
      <xdr:row>0</xdr:row>
      <xdr:rowOff>330199</xdr:rowOff>
    </xdr:to>
    <xdr:pic>
      <xdr:nvPicPr>
        <xdr:cNvPr id="4" name="Grafik 3">
          <a:extLst>
            <a:ext uri="{FF2B5EF4-FFF2-40B4-BE49-F238E27FC236}">
              <a16:creationId xmlns:a16="http://schemas.microsoft.com/office/drawing/2014/main" id="{247DAD9B-EF66-4C97-9BB4-C9E0CB18E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92634" y="0"/>
          <a:ext cx="1614467" cy="330199"/>
        </a:xfrm>
        <a:prstGeom prst="rect">
          <a:avLst/>
        </a:prstGeom>
      </xdr:spPr>
    </xdr:pic>
    <xdr:clientData/>
  </xdr:twoCellAnchor>
</xdr:wsDr>
</file>

<file path=xl/theme/theme1.xml><?xml version="1.0" encoding="utf-8"?>
<a:theme xmlns:a="http://schemas.openxmlformats.org/drawingml/2006/main" name="Office">
  <a:themeElements>
    <a:clrScheme name="HSE-AG">
      <a:dk1>
        <a:sysClr val="windowText" lastClr="000000"/>
      </a:dk1>
      <a:lt1>
        <a:sysClr val="window" lastClr="FFFFFF"/>
      </a:lt1>
      <a:dk2>
        <a:srgbClr val="0E2841"/>
      </a:dk2>
      <a:lt2>
        <a:srgbClr val="E8E8E8"/>
      </a:lt2>
      <a:accent1>
        <a:srgbClr val="A71930"/>
      </a:accent1>
      <a:accent2>
        <a:srgbClr val="F2823D"/>
      </a:accent2>
      <a:accent3>
        <a:srgbClr val="1C6C80"/>
      </a:accent3>
      <a:accent4>
        <a:srgbClr val="1CAAC0"/>
      </a:accent4>
      <a:accent5>
        <a:srgbClr val="C2B32E"/>
      </a:accent5>
      <a:accent6>
        <a:srgbClr val="5E6A71"/>
      </a:accent6>
      <a:hlink>
        <a:srgbClr val="A71930"/>
      </a:hlink>
      <a:folHlink>
        <a:srgbClr val="F2823D"/>
      </a:folHlink>
    </a:clrScheme>
    <a:fontScheme name="Benutzerdefiniert 4">
      <a:majorFont>
        <a:latin typeface="Montserrat"/>
        <a:ea typeface=""/>
        <a:cs typeface=""/>
      </a:majorFont>
      <a:minorFont>
        <a:latin typeface="Montserra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5ED46-5809-964A-A513-40FF7770E487}">
  <dimension ref="A1:I35"/>
  <sheetViews>
    <sheetView topLeftCell="A13" zoomScale="150" zoomScaleNormal="150" zoomScaleSheetLayoutView="90" workbookViewId="0">
      <selection activeCell="J15" sqref="J15"/>
    </sheetView>
  </sheetViews>
  <sheetFormatPr baseColWidth="10" defaultColWidth="11" defaultRowHeight="19" x14ac:dyDescent="0.25"/>
  <cols>
    <col min="1" max="1" width="49.5" style="1" customWidth="1"/>
    <col min="2" max="9" width="8.625" style="1" customWidth="1"/>
    <col min="10" max="16384" width="11" style="1"/>
  </cols>
  <sheetData>
    <row r="1" spans="1:9" ht="79.5" customHeight="1" x14ac:dyDescent="0.3">
      <c r="A1" s="48" t="s">
        <v>26</v>
      </c>
      <c r="B1" s="49"/>
      <c r="C1" s="49"/>
      <c r="D1" s="49"/>
      <c r="E1" s="49"/>
      <c r="F1" s="49"/>
      <c r="G1" s="49"/>
      <c r="H1" s="49"/>
      <c r="I1" s="49"/>
    </row>
    <row r="3" spans="1:9" x14ac:dyDescent="0.25">
      <c r="A3" s="8" t="s">
        <v>18</v>
      </c>
      <c r="B3" s="33">
        <v>-0.1</v>
      </c>
      <c r="C3" s="28"/>
      <c r="D3" s="28"/>
      <c r="E3" s="28"/>
      <c r="F3" s="28"/>
      <c r="G3" s="28"/>
      <c r="H3" s="28"/>
      <c r="I3" s="28"/>
    </row>
    <row r="4" spans="1:9" x14ac:dyDescent="0.25">
      <c r="A4" s="8" t="s">
        <v>23</v>
      </c>
      <c r="B4" s="9">
        <v>2</v>
      </c>
      <c r="C4" s="28"/>
      <c r="D4" s="28"/>
      <c r="E4" s="28"/>
      <c r="F4" s="28"/>
      <c r="G4" s="28"/>
      <c r="H4" s="28"/>
      <c r="I4" s="28"/>
    </row>
    <row r="5" spans="1:9" x14ac:dyDescent="0.25">
      <c r="A5" s="8" t="s">
        <v>64</v>
      </c>
      <c r="B5" s="33">
        <v>0.1</v>
      </c>
      <c r="C5" s="28"/>
      <c r="D5" s="28"/>
      <c r="E5" s="28"/>
      <c r="F5" s="28"/>
      <c r="G5" s="28"/>
      <c r="H5" s="28"/>
      <c r="I5" s="28"/>
    </row>
    <row r="6" spans="1:9" x14ac:dyDescent="0.25">
      <c r="A6" s="8" t="s">
        <v>65</v>
      </c>
      <c r="B6" s="34">
        <v>0.05</v>
      </c>
      <c r="C6" s="28"/>
      <c r="D6" s="28"/>
      <c r="E6" s="28"/>
      <c r="F6" s="28"/>
      <c r="G6" s="28"/>
      <c r="H6" s="28"/>
      <c r="I6" s="28"/>
    </row>
    <row r="7" spans="1:9" x14ac:dyDescent="0.25">
      <c r="A7" s="8" t="s">
        <v>66</v>
      </c>
      <c r="B7" s="33">
        <v>0.05</v>
      </c>
      <c r="C7" s="28"/>
      <c r="D7" s="28"/>
      <c r="E7" s="28"/>
      <c r="F7" s="28"/>
      <c r="G7" s="28"/>
      <c r="H7" s="28"/>
      <c r="I7" s="28"/>
    </row>
    <row r="8" spans="1:9" x14ac:dyDescent="0.25">
      <c r="A8" s="8" t="s">
        <v>67</v>
      </c>
      <c r="B8" s="34">
        <v>0.02</v>
      </c>
      <c r="C8" s="28"/>
      <c r="D8" s="28"/>
      <c r="E8" s="28"/>
      <c r="F8" s="28"/>
      <c r="G8" s="28"/>
      <c r="H8" s="28"/>
      <c r="I8" s="28"/>
    </row>
    <row r="9" spans="1:9" x14ac:dyDescent="0.25">
      <c r="A9" s="28"/>
      <c r="B9" s="28"/>
      <c r="C9" s="28"/>
      <c r="D9" s="28"/>
      <c r="E9" s="28"/>
      <c r="F9" s="28"/>
      <c r="G9" s="28"/>
      <c r="H9" s="28"/>
      <c r="I9" s="28"/>
    </row>
    <row r="10" spans="1:9" x14ac:dyDescent="0.25">
      <c r="A10" s="8" t="s">
        <v>19</v>
      </c>
      <c r="B10" s="31">
        <v>15</v>
      </c>
      <c r="C10" s="28"/>
      <c r="D10" s="28"/>
      <c r="E10" s="28"/>
      <c r="F10" s="28"/>
      <c r="G10" s="28"/>
      <c r="H10" s="28"/>
      <c r="I10" s="28"/>
    </row>
    <row r="11" spans="1:9" x14ac:dyDescent="0.25">
      <c r="A11" s="8" t="s">
        <v>20</v>
      </c>
      <c r="B11" s="32">
        <v>5</v>
      </c>
      <c r="C11" s="28"/>
      <c r="D11" s="28"/>
      <c r="E11" s="28"/>
      <c r="F11" s="28"/>
      <c r="G11" s="28"/>
      <c r="H11" s="28"/>
      <c r="I11" s="28"/>
    </row>
    <row r="12" spans="1:9" x14ac:dyDescent="0.25">
      <c r="A12" s="28"/>
      <c r="B12" s="28"/>
      <c r="C12" s="28"/>
      <c r="D12" s="28"/>
      <c r="E12" s="28"/>
      <c r="F12" s="28"/>
      <c r="G12" s="28"/>
      <c r="H12" s="28"/>
      <c r="I12" s="28"/>
    </row>
    <row r="13" spans="1:9" x14ac:dyDescent="0.25">
      <c r="A13" s="8" t="s">
        <v>60</v>
      </c>
      <c r="B13" s="31">
        <v>17</v>
      </c>
      <c r="C13" s="28"/>
      <c r="D13" s="28"/>
      <c r="E13" s="28"/>
      <c r="F13" s="28"/>
      <c r="G13" s="28"/>
      <c r="H13" s="28"/>
      <c r="I13" s="28"/>
    </row>
    <row r="14" spans="1:9" x14ac:dyDescent="0.25">
      <c r="A14" s="8" t="s">
        <v>61</v>
      </c>
      <c r="B14" s="32">
        <v>4</v>
      </c>
      <c r="C14" s="28"/>
      <c r="D14" s="28"/>
      <c r="E14" s="28"/>
      <c r="F14" s="28"/>
      <c r="G14" s="28"/>
      <c r="H14" s="28"/>
      <c r="I14" s="28"/>
    </row>
    <row r="15" spans="1:9" x14ac:dyDescent="0.25">
      <c r="A15" s="8" t="s">
        <v>63</v>
      </c>
      <c r="B15" s="31">
        <v>16</v>
      </c>
      <c r="C15" s="28"/>
      <c r="D15" s="28"/>
      <c r="E15" s="28"/>
      <c r="F15" s="28"/>
      <c r="G15" s="28"/>
      <c r="H15" s="28"/>
      <c r="I15" s="28"/>
    </row>
    <row r="16" spans="1:9" x14ac:dyDescent="0.25">
      <c r="A16" s="8" t="s">
        <v>62</v>
      </c>
      <c r="B16" s="32">
        <v>5</v>
      </c>
      <c r="C16" s="28"/>
      <c r="D16" s="28"/>
      <c r="E16" s="28"/>
      <c r="F16" s="28"/>
      <c r="G16" s="28"/>
      <c r="H16" s="28"/>
      <c r="I16" s="28"/>
    </row>
    <row r="17" spans="1:9" s="27" customFormat="1" ht="17" customHeight="1" x14ac:dyDescent="0.25">
      <c r="A17" s="24"/>
      <c r="B17" s="25"/>
      <c r="C17" s="26"/>
      <c r="D17" s="26"/>
      <c r="E17" s="26"/>
      <c r="F17" s="26"/>
      <c r="G17" s="26"/>
      <c r="H17" s="26"/>
      <c r="I17" s="26"/>
    </row>
    <row r="18" spans="1:9" x14ac:dyDescent="0.25">
      <c r="A18" s="14" t="s">
        <v>21</v>
      </c>
      <c r="B18" s="4"/>
      <c r="C18" s="4"/>
      <c r="D18" s="4"/>
      <c r="E18" s="4"/>
      <c r="F18" s="4"/>
      <c r="G18" s="4"/>
      <c r="H18" s="4"/>
      <c r="I18" s="4"/>
    </row>
    <row r="19" spans="1:9" x14ac:dyDescent="0.25">
      <c r="A19" s="8" t="s">
        <v>25</v>
      </c>
      <c r="B19" s="5">
        <v>400</v>
      </c>
      <c r="C19" s="4">
        <f>B19*(1+$B$3)</f>
        <v>360</v>
      </c>
      <c r="D19" s="4">
        <f t="shared" ref="D19:I19" si="0">C19*(1+$B$3)</f>
        <v>324</v>
      </c>
      <c r="E19" s="4">
        <f t="shared" si="0"/>
        <v>291.60000000000002</v>
      </c>
      <c r="F19" s="4">
        <f t="shared" si="0"/>
        <v>262.44000000000005</v>
      </c>
      <c r="G19" s="4">
        <f t="shared" si="0"/>
        <v>236.19600000000005</v>
      </c>
      <c r="H19" s="4">
        <f t="shared" si="0"/>
        <v>212.57640000000006</v>
      </c>
      <c r="I19" s="4">
        <f t="shared" si="0"/>
        <v>191.31876000000005</v>
      </c>
    </row>
    <row r="20" spans="1:9" x14ac:dyDescent="0.25">
      <c r="A20" s="8" t="s">
        <v>22</v>
      </c>
      <c r="B20" s="4">
        <f>B19*$B$10</f>
        <v>6000</v>
      </c>
      <c r="C20" s="4">
        <f t="shared" ref="C20:I20" si="1">C19*$B$10</f>
        <v>5400</v>
      </c>
      <c r="D20" s="4">
        <f t="shared" si="1"/>
        <v>4860</v>
      </c>
      <c r="E20" s="4">
        <f t="shared" si="1"/>
        <v>4374</v>
      </c>
      <c r="F20" s="4">
        <f t="shared" si="1"/>
        <v>3936.6000000000008</v>
      </c>
      <c r="G20" s="4">
        <f t="shared" si="1"/>
        <v>3542.940000000001</v>
      </c>
      <c r="H20" s="4">
        <f t="shared" si="1"/>
        <v>3188.6460000000011</v>
      </c>
      <c r="I20" s="4">
        <f t="shared" si="1"/>
        <v>2869.7814000000008</v>
      </c>
    </row>
    <row r="21" spans="1:9" x14ac:dyDescent="0.25">
      <c r="A21" s="8" t="s">
        <v>24</v>
      </c>
      <c r="B21" s="6">
        <f>B19*($B$10-$B$11)</f>
        <v>4000</v>
      </c>
      <c r="C21" s="6">
        <f t="shared" ref="C21:I21" si="2">C19*($B$10-$B$11)</f>
        <v>3600</v>
      </c>
      <c r="D21" s="6">
        <f t="shared" si="2"/>
        <v>3240</v>
      </c>
      <c r="E21" s="6">
        <f t="shared" si="2"/>
        <v>2916</v>
      </c>
      <c r="F21" s="6">
        <f t="shared" si="2"/>
        <v>2624.4000000000005</v>
      </c>
      <c r="G21" s="6">
        <f t="shared" si="2"/>
        <v>2361.9600000000005</v>
      </c>
      <c r="H21" s="6">
        <f t="shared" si="2"/>
        <v>2125.7640000000006</v>
      </c>
      <c r="I21" s="6">
        <f t="shared" si="2"/>
        <v>1913.1876000000007</v>
      </c>
    </row>
    <row r="22" spans="1:9" x14ac:dyDescent="0.25">
      <c r="A22" s="8"/>
      <c r="B22" s="4"/>
      <c r="C22" s="4"/>
      <c r="D22" s="4"/>
      <c r="E22" s="4"/>
      <c r="F22" s="4"/>
      <c r="G22" s="4"/>
      <c r="H22" s="4"/>
      <c r="I22" s="4"/>
    </row>
    <row r="23" spans="1:9" x14ac:dyDescent="0.25">
      <c r="A23" s="14" t="s">
        <v>68</v>
      </c>
      <c r="B23" s="4"/>
      <c r="C23" s="4"/>
      <c r="D23" s="4"/>
      <c r="E23" s="4"/>
      <c r="F23" s="4"/>
      <c r="G23" s="4"/>
      <c r="H23" s="4"/>
      <c r="I23" s="4"/>
    </row>
    <row r="24" spans="1:9" x14ac:dyDescent="0.25">
      <c r="A24" s="8" t="s">
        <v>25</v>
      </c>
      <c r="B24" s="4">
        <v>0</v>
      </c>
      <c r="C24" s="7">
        <f>IF($B4=1, C19*(1+B5), 0)</f>
        <v>0</v>
      </c>
      <c r="D24" s="7">
        <f>IF($B4=1, $C19*(1+B5)*(1+B6), IF($B4=2,$D19*(1+B5), 0))</f>
        <v>356.40000000000003</v>
      </c>
      <c r="E24" s="7">
        <f>IF($B4=1, $C19*(1+B5)*(1+B6)*(1+B6), IF($B4=2,$D19*(1+B5)*(1+B6), IF($B4=3,$E19*(1+B5),0)))</f>
        <v>374.22</v>
      </c>
      <c r="F24" s="6">
        <f>E24*(1+$B$5)</f>
        <v>411.64200000000005</v>
      </c>
      <c r="G24" s="6">
        <f>F24*(1+$B$5)</f>
        <v>452.8062000000001</v>
      </c>
      <c r="H24" s="6">
        <f>G24*(1+$B$5)</f>
        <v>498.08682000000016</v>
      </c>
      <c r="I24" s="6">
        <f>H24*(1+$B$5)</f>
        <v>547.89550200000019</v>
      </c>
    </row>
    <row r="25" spans="1:9" x14ac:dyDescent="0.25">
      <c r="A25" s="8" t="s">
        <v>22</v>
      </c>
      <c r="B25" s="4">
        <f t="shared" ref="B25:I25" si="3">B24*$B13</f>
        <v>0</v>
      </c>
      <c r="C25" s="4">
        <f t="shared" si="3"/>
        <v>0</v>
      </c>
      <c r="D25" s="4">
        <f t="shared" si="3"/>
        <v>6058.8</v>
      </c>
      <c r="E25" s="4">
        <f t="shared" si="3"/>
        <v>6361.7400000000007</v>
      </c>
      <c r="F25" s="4">
        <f t="shared" si="3"/>
        <v>6997.9140000000007</v>
      </c>
      <c r="G25" s="4">
        <f t="shared" si="3"/>
        <v>7697.7054000000016</v>
      </c>
      <c r="H25" s="4">
        <f t="shared" si="3"/>
        <v>8467.4759400000021</v>
      </c>
      <c r="I25" s="4">
        <f t="shared" si="3"/>
        <v>9314.2235340000025</v>
      </c>
    </row>
    <row r="26" spans="1:9" x14ac:dyDescent="0.25">
      <c r="A26" s="8" t="s">
        <v>24</v>
      </c>
      <c r="B26" s="4">
        <f t="shared" ref="B26:I26" si="4">B24*($B$13-$B14)</f>
        <v>0</v>
      </c>
      <c r="C26" s="4">
        <f t="shared" si="4"/>
        <v>0</v>
      </c>
      <c r="D26" s="4">
        <f t="shared" si="4"/>
        <v>4633.2000000000007</v>
      </c>
      <c r="E26" s="4">
        <f t="shared" si="4"/>
        <v>4864.8600000000006</v>
      </c>
      <c r="F26" s="4">
        <f t="shared" si="4"/>
        <v>5351.3460000000005</v>
      </c>
      <c r="G26" s="4">
        <f t="shared" si="4"/>
        <v>5886.4806000000017</v>
      </c>
      <c r="H26" s="4">
        <f t="shared" si="4"/>
        <v>6475.1286600000021</v>
      </c>
      <c r="I26" s="4">
        <f t="shared" si="4"/>
        <v>7122.6415260000022</v>
      </c>
    </row>
    <row r="27" spans="1:9" x14ac:dyDescent="0.25">
      <c r="A27" s="8"/>
      <c r="B27" s="6"/>
      <c r="C27" s="6"/>
      <c r="D27" s="6"/>
      <c r="E27" s="6"/>
      <c r="F27" s="6"/>
      <c r="G27" s="6"/>
      <c r="H27" s="6"/>
      <c r="I27" s="6"/>
    </row>
    <row r="28" spans="1:9" x14ac:dyDescent="0.25">
      <c r="A28" s="15" t="s">
        <v>59</v>
      </c>
      <c r="B28" s="16">
        <f>IF(B26=0,0,(B26-B21))</f>
        <v>0</v>
      </c>
      <c r="C28" s="16">
        <f>IF(C26=0,0,(C26-C21))</f>
        <v>0</v>
      </c>
      <c r="D28" s="16">
        <f t="shared" ref="D28:I28" si="5">IF(D26=0,0,(D26-D21))</f>
        <v>1393.2000000000007</v>
      </c>
      <c r="E28" s="16">
        <f t="shared" si="5"/>
        <v>1948.8600000000006</v>
      </c>
      <c r="F28" s="16">
        <f t="shared" si="5"/>
        <v>2726.9459999999999</v>
      </c>
      <c r="G28" s="16">
        <f t="shared" si="5"/>
        <v>3524.5206000000012</v>
      </c>
      <c r="H28" s="16">
        <f t="shared" si="5"/>
        <v>4349.3646600000011</v>
      </c>
      <c r="I28" s="16">
        <f t="shared" si="5"/>
        <v>5209.453926000002</v>
      </c>
    </row>
    <row r="29" spans="1:9" s="27" customFormat="1" ht="13" customHeight="1" x14ac:dyDescent="0.25">
      <c r="A29" s="29"/>
      <c r="B29" s="30"/>
      <c r="C29" s="30"/>
      <c r="D29" s="30"/>
      <c r="E29" s="30"/>
      <c r="F29" s="30"/>
      <c r="G29" s="30"/>
      <c r="H29" s="30"/>
      <c r="I29" s="30"/>
    </row>
    <row r="30" spans="1:9" x14ac:dyDescent="0.25">
      <c r="A30" s="14" t="s">
        <v>69</v>
      </c>
      <c r="B30" s="4"/>
      <c r="C30" s="4"/>
      <c r="D30" s="4"/>
      <c r="E30" s="4"/>
      <c r="F30" s="4"/>
      <c r="G30" s="4"/>
      <c r="H30" s="4"/>
      <c r="I30" s="4"/>
    </row>
    <row r="31" spans="1:9" x14ac:dyDescent="0.25">
      <c r="A31" s="8" t="s">
        <v>25</v>
      </c>
      <c r="B31" s="4">
        <v>0</v>
      </c>
      <c r="C31" s="7">
        <f>IF($B4=1, C19*(1+B7), 0)</f>
        <v>0</v>
      </c>
      <c r="D31" s="7">
        <f>IF($B4=1, $C19*(1+B7)*(1+B8), IF($B4=2,$D19*(1+B7), 0))</f>
        <v>340.2</v>
      </c>
      <c r="E31" s="7">
        <f>IF($B4=1, $C19*(1+B7)*(1+B8)*(1+B8), IF($B4=2,$D19*(1+B7)*(1+B8), IF($B4=3,$E19*(1+B7),0)))</f>
        <v>347.00400000000002</v>
      </c>
      <c r="F31" s="6">
        <f>E31*(1+$B$5)</f>
        <v>381.70440000000008</v>
      </c>
      <c r="G31" s="6">
        <f>F31*(1+$B$5)</f>
        <v>419.87484000000012</v>
      </c>
      <c r="H31" s="6">
        <f>G31*(1+$B$5)</f>
        <v>461.86232400000017</v>
      </c>
      <c r="I31" s="6">
        <f>H31*(1+$B$5)</f>
        <v>508.04855640000022</v>
      </c>
    </row>
    <row r="32" spans="1:9" x14ac:dyDescent="0.25">
      <c r="A32" s="8" t="s">
        <v>22</v>
      </c>
      <c r="B32" s="4">
        <f t="shared" ref="B32:I32" si="6">B31*$B15</f>
        <v>0</v>
      </c>
      <c r="C32" s="4">
        <f t="shared" si="6"/>
        <v>0</v>
      </c>
      <c r="D32" s="4">
        <f t="shared" si="6"/>
        <v>5443.2</v>
      </c>
      <c r="E32" s="4">
        <f t="shared" si="6"/>
        <v>5552.0640000000003</v>
      </c>
      <c r="F32" s="4">
        <f t="shared" si="6"/>
        <v>6107.2704000000012</v>
      </c>
      <c r="G32" s="4">
        <f t="shared" si="6"/>
        <v>6717.9974400000019</v>
      </c>
      <c r="H32" s="4">
        <f t="shared" si="6"/>
        <v>7389.7971840000027</v>
      </c>
      <c r="I32" s="4">
        <f t="shared" si="6"/>
        <v>8128.7769024000036</v>
      </c>
    </row>
    <row r="33" spans="1:9" x14ac:dyDescent="0.25">
      <c r="A33" s="8" t="s">
        <v>24</v>
      </c>
      <c r="B33" s="4">
        <f t="shared" ref="B33:I33" si="7">B31*($B15-$B16)</f>
        <v>0</v>
      </c>
      <c r="C33" s="4">
        <f t="shared" si="7"/>
        <v>0</v>
      </c>
      <c r="D33" s="4">
        <f t="shared" si="7"/>
        <v>3742.2</v>
      </c>
      <c r="E33" s="4">
        <f t="shared" si="7"/>
        <v>3817.0440000000003</v>
      </c>
      <c r="F33" s="4">
        <f t="shared" si="7"/>
        <v>4198.7484000000004</v>
      </c>
      <c r="G33" s="4">
        <f t="shared" si="7"/>
        <v>4618.6232400000017</v>
      </c>
      <c r="H33" s="4">
        <f t="shared" si="7"/>
        <v>5080.4855640000023</v>
      </c>
      <c r="I33" s="4">
        <f t="shared" si="7"/>
        <v>5588.5341204000024</v>
      </c>
    </row>
    <row r="34" spans="1:9" x14ac:dyDescent="0.25">
      <c r="A34" s="8"/>
      <c r="B34" s="6"/>
      <c r="C34" s="6"/>
      <c r="D34" s="6"/>
      <c r="E34" s="6"/>
      <c r="F34" s="6"/>
      <c r="G34" s="6"/>
      <c r="H34" s="6"/>
      <c r="I34" s="6"/>
    </row>
    <row r="35" spans="1:9" x14ac:dyDescent="0.25">
      <c r="A35" s="15" t="s">
        <v>70</v>
      </c>
      <c r="B35" s="16">
        <f t="shared" ref="B35:I35" si="8">IF(B33=0,0,(B33-B21))</f>
        <v>0</v>
      </c>
      <c r="C35" s="16">
        <f t="shared" si="8"/>
        <v>0</v>
      </c>
      <c r="D35" s="16">
        <f t="shared" si="8"/>
        <v>502.19999999999982</v>
      </c>
      <c r="E35" s="16">
        <f t="shared" si="8"/>
        <v>901.04400000000032</v>
      </c>
      <c r="F35" s="16">
        <f t="shared" si="8"/>
        <v>1574.3483999999999</v>
      </c>
      <c r="G35" s="16">
        <f t="shared" si="8"/>
        <v>2256.6632400000012</v>
      </c>
      <c r="H35" s="16">
        <f t="shared" si="8"/>
        <v>2954.7215640000018</v>
      </c>
      <c r="I35" s="16">
        <f t="shared" si="8"/>
        <v>3675.3465204000017</v>
      </c>
    </row>
  </sheetData>
  <sheetProtection selectLockedCells="1"/>
  <mergeCells count="1">
    <mergeCell ref="A1:I1"/>
  </mergeCells>
  <conditionalFormatting sqref="A1 J1:XFD1 A2:XFD2 A3:A8 C3:XFD8 A9:XFD9 A10:A11 C10:XFD11 A12:XFD12 A13:A17 C13:XFD17 A18:XFD1048576">
    <cfRule type="cellIs" dxfId="3" priority="2" operator="lessThan">
      <formula>0</formula>
    </cfRule>
  </conditionalFormatting>
  <dataValidations disablePrompts="1" count="1">
    <dataValidation type="list" allowBlank="1" showInputMessage="1" showErrorMessage="1" sqref="B4" xr:uid="{1A3A64CF-1934-3249-9A78-DC4650915DBB}">
      <formula1>"1,2,3"</formula1>
    </dataValidation>
  </dataValidations>
  <pageMargins left="0.7" right="0.7" top="0.75" bottom="0.75" header="0.3" footer="0.3"/>
  <pageSetup paperSize="9" scale="59" orientation="landscape"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8E4F7-F842-334C-AF02-B68BEF890D4F}">
  <dimension ref="A1:I28"/>
  <sheetViews>
    <sheetView topLeftCell="A11" zoomScale="150" zoomScaleNormal="150" workbookViewId="0">
      <selection activeCell="A13" sqref="A13"/>
    </sheetView>
  </sheetViews>
  <sheetFormatPr baseColWidth="10" defaultColWidth="11" defaultRowHeight="19" x14ac:dyDescent="0.25"/>
  <cols>
    <col min="1" max="1" width="38.625" style="1" customWidth="1"/>
    <col min="2" max="9" width="8.625" style="1" customWidth="1"/>
    <col min="10" max="16384" width="11" style="1"/>
  </cols>
  <sheetData>
    <row r="1" spans="1:9" ht="79.5" customHeight="1" x14ac:dyDescent="0.3">
      <c r="A1" s="48" t="s">
        <v>27</v>
      </c>
      <c r="B1" s="49"/>
      <c r="C1" s="49"/>
      <c r="D1" s="49"/>
      <c r="E1" s="49"/>
      <c r="F1" s="49"/>
      <c r="G1" s="49"/>
      <c r="H1" s="49"/>
      <c r="I1" s="49"/>
    </row>
    <row r="3" spans="1:9" x14ac:dyDescent="0.25">
      <c r="A3" s="8" t="s">
        <v>28</v>
      </c>
      <c r="B3" s="9">
        <v>4000</v>
      </c>
      <c r="C3" s="28"/>
      <c r="D3" s="28"/>
      <c r="E3" s="28"/>
      <c r="F3" s="28"/>
      <c r="G3" s="28"/>
      <c r="H3" s="28"/>
      <c r="I3" s="28"/>
    </row>
    <row r="4" spans="1:9" x14ac:dyDescent="0.25">
      <c r="A4" s="8" t="s">
        <v>30</v>
      </c>
      <c r="B4" s="10" t="s">
        <v>71</v>
      </c>
      <c r="C4" s="28"/>
      <c r="D4" s="28"/>
      <c r="E4" s="28"/>
      <c r="F4" s="28"/>
      <c r="G4" s="28"/>
      <c r="H4" s="28"/>
      <c r="I4" s="28"/>
    </row>
    <row r="5" spans="1:9" x14ac:dyDescent="0.25">
      <c r="A5" s="8" t="s">
        <v>43</v>
      </c>
      <c r="B5" s="11">
        <f>IF($B$4="high",$B$3*1.2, IF($B$4= "medium", $B$3*1.1, IF($B$4="low", $B$3*1.05,"")))</f>
        <v>4800</v>
      </c>
      <c r="C5" s="28"/>
      <c r="D5" s="28"/>
      <c r="E5" s="28"/>
      <c r="F5" s="28"/>
      <c r="G5" s="28"/>
      <c r="H5" s="28"/>
      <c r="I5" s="28"/>
    </row>
    <row r="6" spans="1:9" x14ac:dyDescent="0.25">
      <c r="A6" s="8" t="s">
        <v>44</v>
      </c>
      <c r="B6" s="11">
        <f>IF($B$4="high",$B$3*0.8, IF($B$4= "medium", $B$3*0.9, IF($B$4="low", $B$3*0.95,"")))</f>
        <v>3200</v>
      </c>
      <c r="C6" s="28"/>
      <c r="D6" s="28"/>
      <c r="E6" s="28"/>
      <c r="F6" s="28"/>
      <c r="G6" s="28"/>
      <c r="H6" s="28"/>
      <c r="I6" s="28"/>
    </row>
    <row r="7" spans="1:9" x14ac:dyDescent="0.25">
      <c r="A7" s="8" t="s">
        <v>41</v>
      </c>
      <c r="B7" s="10" t="s">
        <v>42</v>
      </c>
      <c r="C7" s="28"/>
      <c r="D7" s="28"/>
      <c r="E7" s="28"/>
      <c r="F7" s="28"/>
      <c r="G7" s="28"/>
      <c r="H7" s="28"/>
      <c r="I7" s="28"/>
    </row>
    <row r="8" spans="1:9" x14ac:dyDescent="0.25">
      <c r="A8" s="8" t="s">
        <v>31</v>
      </c>
      <c r="B8" s="12">
        <v>200</v>
      </c>
      <c r="C8" s="28"/>
      <c r="D8" s="28"/>
      <c r="E8" s="28"/>
      <c r="F8" s="28"/>
      <c r="G8" s="28"/>
      <c r="H8" s="28"/>
      <c r="I8" s="28"/>
    </row>
    <row r="9" spans="1:9" x14ac:dyDescent="0.25">
      <c r="A9" s="8" t="s">
        <v>32</v>
      </c>
      <c r="B9" s="12">
        <v>50</v>
      </c>
      <c r="C9" s="28"/>
      <c r="D9" s="28"/>
      <c r="E9" s="28"/>
      <c r="F9" s="28"/>
      <c r="G9" s="28"/>
      <c r="H9" s="28"/>
      <c r="I9" s="28"/>
    </row>
    <row r="10" spans="1:9" x14ac:dyDescent="0.25">
      <c r="A10" s="8" t="s">
        <v>33</v>
      </c>
      <c r="B10" s="9">
        <v>100</v>
      </c>
      <c r="C10" s="28"/>
      <c r="D10" s="28"/>
      <c r="E10" s="28"/>
      <c r="F10" s="28"/>
      <c r="G10" s="28"/>
      <c r="H10" s="28"/>
      <c r="I10" s="28"/>
    </row>
    <row r="11" spans="1:9" x14ac:dyDescent="0.25">
      <c r="A11" s="8" t="s">
        <v>34</v>
      </c>
      <c r="B11" s="12">
        <v>200</v>
      </c>
      <c r="C11" s="28"/>
      <c r="D11" s="28"/>
      <c r="E11" s="28"/>
      <c r="F11" s="28"/>
      <c r="G11" s="28"/>
      <c r="H11" s="28"/>
      <c r="I11" s="28"/>
    </row>
    <row r="12" spans="1:9" x14ac:dyDescent="0.25">
      <c r="A12" s="28"/>
      <c r="B12" s="28"/>
      <c r="C12" s="28"/>
      <c r="D12" s="28"/>
      <c r="E12" s="28"/>
      <c r="F12" s="28"/>
      <c r="G12" s="28"/>
      <c r="H12" s="28"/>
      <c r="I12" s="28"/>
    </row>
    <row r="13" spans="1:9" x14ac:dyDescent="0.25">
      <c r="A13" s="44" t="s">
        <v>0</v>
      </c>
      <c r="B13" s="19" t="s">
        <v>1</v>
      </c>
      <c r="C13" s="19" t="s">
        <v>2</v>
      </c>
      <c r="D13" s="19" t="s">
        <v>3</v>
      </c>
      <c r="E13" s="19" t="s">
        <v>4</v>
      </c>
      <c r="F13" s="19" t="s">
        <v>5</v>
      </c>
      <c r="G13" s="19" t="s">
        <v>6</v>
      </c>
      <c r="H13" s="19" t="s">
        <v>7</v>
      </c>
      <c r="I13" s="19" t="s">
        <v>8</v>
      </c>
    </row>
    <row r="14" spans="1:9" x14ac:dyDescent="0.25">
      <c r="A14" s="8"/>
      <c r="B14" s="13"/>
      <c r="C14" s="13"/>
      <c r="D14" s="13"/>
      <c r="E14" s="13"/>
      <c r="F14" s="13"/>
      <c r="G14" s="13"/>
      <c r="H14" s="13"/>
      <c r="I14" s="13"/>
    </row>
    <row r="15" spans="1:9" x14ac:dyDescent="0.25">
      <c r="A15" s="14" t="s">
        <v>38</v>
      </c>
      <c r="B15" s="4"/>
      <c r="C15" s="4"/>
      <c r="D15" s="4"/>
      <c r="E15" s="4"/>
      <c r="F15" s="4"/>
      <c r="G15" s="4"/>
      <c r="H15" s="4"/>
      <c r="I15" s="4"/>
    </row>
    <row r="16" spans="1:9" x14ac:dyDescent="0.25">
      <c r="A16" s="8" t="s">
        <v>35</v>
      </c>
      <c r="B16" s="4">
        <f>IF('Sales &amp; Profit Planning'!B$4=1,$B6,IF('Sales &amp; Profit Planning'!B$4=2,$B6/2,IF('Sales &amp; Profit Planning'!B$4=3,$B6/3)))</f>
        <v>1600</v>
      </c>
      <c r="C16" s="4">
        <f>IF('Sales &amp; Profit Planning'!B$4=1,0,IF('Sales &amp; Profit Planning'!B$4=2,$B6/2,IF('Sales &amp; Profit Planning'!B$4=3,$B6/3)))</f>
        <v>1600</v>
      </c>
      <c r="D16" s="4">
        <f>IF('Sales &amp; Profit Planning'!B$4=1,0,IF('Sales &amp; Profit Planning'!B$4=2,0,IF('Sales &amp; Profit Planning'!B$4=3,$B6/3)))</f>
        <v>0</v>
      </c>
      <c r="E16" s="4"/>
      <c r="F16" s="4"/>
      <c r="G16" s="4"/>
      <c r="H16" s="4"/>
      <c r="I16" s="4"/>
    </row>
    <row r="17" spans="1:9" x14ac:dyDescent="0.25">
      <c r="A17" s="8" t="s">
        <v>40</v>
      </c>
      <c r="B17" s="4"/>
      <c r="C17" s="4">
        <f>IF(AND('Sales &amp; Profit Planning'!B$4=1,$B$7="Yes"),$B$3*0.15,0)</f>
        <v>0</v>
      </c>
      <c r="D17" s="4">
        <f>IF(AND('Sales &amp; Profit Planning'!B$4=2,$B$7="Yes"),$B$3*0.15,0)</f>
        <v>600</v>
      </c>
      <c r="E17" s="4">
        <f>IF(AND('Sales &amp; Profit Planning'!B$4=3,$B$7="Yes"),$B$3*0.15,0)</f>
        <v>0</v>
      </c>
      <c r="F17" s="4"/>
      <c r="G17" s="4"/>
      <c r="H17" s="4"/>
      <c r="I17" s="4"/>
    </row>
    <row r="18" spans="1:9" x14ac:dyDescent="0.25">
      <c r="A18" s="8" t="s">
        <v>36</v>
      </c>
      <c r="B18" s="4"/>
      <c r="C18" s="4">
        <f>IF('Sales &amp; Profit Planning'!B$4=1,$B$8,0)</f>
        <v>0</v>
      </c>
      <c r="D18" s="4">
        <f>IF('Sales &amp; Profit Planning'!B$4=2,$B$8,0)</f>
        <v>200</v>
      </c>
      <c r="E18" s="4">
        <f>IF('Sales &amp; Profit Planning'!B$4=3,$B$8,0)</f>
        <v>0</v>
      </c>
      <c r="F18" s="4"/>
      <c r="G18" s="4"/>
      <c r="H18" s="4"/>
      <c r="I18" s="4"/>
    </row>
    <row r="19" spans="1:9" x14ac:dyDescent="0.25">
      <c r="A19" s="8" t="s">
        <v>37</v>
      </c>
      <c r="B19" s="6">
        <f>$B$9/5</f>
        <v>10</v>
      </c>
      <c r="C19" s="6">
        <f>$B$9/5+$B$10/5</f>
        <v>30</v>
      </c>
      <c r="D19" s="6">
        <f>$B$9/5+$B$10/5+$B$11/5</f>
        <v>70</v>
      </c>
      <c r="E19" s="6">
        <f>$B$9/5+$B$10/5+$B$11/5</f>
        <v>70</v>
      </c>
      <c r="F19" s="6">
        <f>$B$9/5+$B$10/5+$B$11/5</f>
        <v>70</v>
      </c>
      <c r="G19" s="6">
        <f>$B$10/5+$B$11/5</f>
        <v>60</v>
      </c>
      <c r="H19" s="6">
        <f>$B$11/5</f>
        <v>40</v>
      </c>
      <c r="I19" s="6"/>
    </row>
    <row r="20" spans="1:9" x14ac:dyDescent="0.25">
      <c r="A20" s="8"/>
      <c r="B20" s="4"/>
      <c r="C20" s="4"/>
      <c r="D20" s="4"/>
      <c r="E20" s="4"/>
      <c r="F20" s="4"/>
      <c r="G20" s="4"/>
      <c r="H20" s="4"/>
      <c r="I20" s="4"/>
    </row>
    <row r="21" spans="1:9" x14ac:dyDescent="0.25">
      <c r="A21" s="14" t="s">
        <v>39</v>
      </c>
      <c r="B21" s="4"/>
      <c r="C21" s="4"/>
      <c r="D21" s="4"/>
      <c r="E21" s="4"/>
      <c r="F21" s="4"/>
      <c r="G21" s="4"/>
      <c r="H21" s="4"/>
      <c r="I21" s="4"/>
    </row>
    <row r="22" spans="1:9" x14ac:dyDescent="0.25">
      <c r="A22" s="8" t="s">
        <v>35</v>
      </c>
      <c r="B22" s="4">
        <f>IF('Sales &amp; Profit Planning'!B$4=1,$B5,IF('Sales &amp; Profit Planning'!B$4=2,$B5/2,IF('Sales &amp; Profit Planning'!B$4=3,$B5/3)))</f>
        <v>2400</v>
      </c>
      <c r="C22" s="4">
        <f>IF('Sales &amp; Profit Planning'!B$4=1,0,IF('Sales &amp; Profit Planning'!B$4=2,$B5/2,IF('Sales &amp; Profit Planning'!B$4=3,$B5/3)))</f>
        <v>2400</v>
      </c>
      <c r="D22" s="4">
        <f>IF('Sales &amp; Profit Planning'!B$4=1,0,IF('Sales &amp; Profit Planning'!B$4=2,0,IF('Sales &amp; Profit Planning'!B$4=3,$B5/3)))</f>
        <v>0</v>
      </c>
      <c r="E22" s="7"/>
      <c r="F22" s="6"/>
      <c r="G22" s="6"/>
      <c r="H22" s="6"/>
      <c r="I22" s="6"/>
    </row>
    <row r="23" spans="1:9" x14ac:dyDescent="0.25">
      <c r="A23" s="8" t="s">
        <v>40</v>
      </c>
      <c r="B23" s="4"/>
      <c r="C23" s="4">
        <f>IF(AND('Sales &amp; Profit Planning'!B$4=1,$B$7="Yes"),$B$3*0.2,0)</f>
        <v>0</v>
      </c>
      <c r="D23" s="4">
        <f>IF(AND('Sales &amp; Profit Planning'!B$4=2,$B$7="Yes"),$B$3*0.2,0)</f>
        <v>800</v>
      </c>
      <c r="E23" s="4">
        <f>IF(AND('Sales &amp; Profit Planning'!B$4=3,$B$7="Yes"),$B$3*0.2,0)</f>
        <v>0</v>
      </c>
      <c r="F23" s="4"/>
      <c r="G23" s="4"/>
      <c r="H23" s="4"/>
      <c r="I23" s="4"/>
    </row>
    <row r="24" spans="1:9" x14ac:dyDescent="0.25">
      <c r="A24" s="8" t="s">
        <v>36</v>
      </c>
      <c r="B24" s="4"/>
      <c r="C24" s="4">
        <f>IF('Sales &amp; Profit Planning'!B$4=1,$B$8,0)</f>
        <v>0</v>
      </c>
      <c r="D24" s="4">
        <f>IF('Sales &amp; Profit Planning'!B$4=2,$B$8,0)</f>
        <v>200</v>
      </c>
      <c r="E24" s="4">
        <f>IF('Sales &amp; Profit Planning'!B$4=3,$B$8,0)</f>
        <v>0</v>
      </c>
      <c r="F24" s="4"/>
      <c r="G24" s="4"/>
      <c r="H24" s="4"/>
      <c r="I24" s="4"/>
    </row>
    <row r="25" spans="1:9" x14ac:dyDescent="0.25">
      <c r="A25" s="8" t="s">
        <v>37</v>
      </c>
      <c r="B25" s="6">
        <f>$B9/5</f>
        <v>10</v>
      </c>
      <c r="C25" s="6">
        <f>$B$9/5+$B$10/5</f>
        <v>30</v>
      </c>
      <c r="D25" s="6">
        <f>$B$9/5+$B$10/5+$B$11/5</f>
        <v>70</v>
      </c>
      <c r="E25" s="6">
        <f>$B$9/5+$B$10/5+$B$11/5</f>
        <v>70</v>
      </c>
      <c r="F25" s="6">
        <f>$B$9/5+$B$10/5+$B$11/5</f>
        <v>70</v>
      </c>
      <c r="G25" s="6">
        <f>$B$10/5+$B$11/5</f>
        <v>60</v>
      </c>
      <c r="H25" s="6">
        <f>$B$11/5</f>
        <v>40</v>
      </c>
      <c r="I25" s="6"/>
    </row>
    <row r="26" spans="1:9" x14ac:dyDescent="0.25">
      <c r="A26" s="8"/>
      <c r="B26" s="6"/>
      <c r="C26" s="6"/>
      <c r="D26" s="6"/>
      <c r="E26" s="6"/>
      <c r="F26" s="6"/>
      <c r="G26" s="6"/>
      <c r="H26" s="6"/>
      <c r="I26" s="6"/>
    </row>
    <row r="27" spans="1:9" x14ac:dyDescent="0.25">
      <c r="A27" s="15" t="s">
        <v>45</v>
      </c>
      <c r="B27" s="16">
        <f>SUM(B16:B19)</f>
        <v>1610</v>
      </c>
      <c r="C27" s="16">
        <f t="shared" ref="C27:I27" si="0">SUM(C16:C19)</f>
        <v>1630</v>
      </c>
      <c r="D27" s="16">
        <f t="shared" si="0"/>
        <v>870</v>
      </c>
      <c r="E27" s="16">
        <f t="shared" si="0"/>
        <v>70</v>
      </c>
      <c r="F27" s="16">
        <f t="shared" si="0"/>
        <v>70</v>
      </c>
      <c r="G27" s="16">
        <f t="shared" si="0"/>
        <v>60</v>
      </c>
      <c r="H27" s="16">
        <f t="shared" si="0"/>
        <v>40</v>
      </c>
      <c r="I27" s="16">
        <f t="shared" si="0"/>
        <v>0</v>
      </c>
    </row>
    <row r="28" spans="1:9" x14ac:dyDescent="0.25">
      <c r="A28" s="15" t="s">
        <v>46</v>
      </c>
      <c r="B28" s="16">
        <f>SUM(B22:B25)</f>
        <v>2410</v>
      </c>
      <c r="C28" s="16">
        <f t="shared" ref="C28:I28" si="1">SUM(C22:C25)</f>
        <v>2430</v>
      </c>
      <c r="D28" s="16">
        <f t="shared" si="1"/>
        <v>1070</v>
      </c>
      <c r="E28" s="16">
        <f t="shared" si="1"/>
        <v>70</v>
      </c>
      <c r="F28" s="16">
        <f t="shared" si="1"/>
        <v>70</v>
      </c>
      <c r="G28" s="16">
        <f t="shared" si="1"/>
        <v>60</v>
      </c>
      <c r="H28" s="16">
        <f t="shared" si="1"/>
        <v>40</v>
      </c>
      <c r="I28" s="16">
        <f t="shared" si="1"/>
        <v>0</v>
      </c>
    </row>
  </sheetData>
  <sheetProtection selectLockedCells="1"/>
  <mergeCells count="1">
    <mergeCell ref="A1:I1"/>
  </mergeCells>
  <conditionalFormatting sqref="A1 J1:XFD1 A2:XFD2">
    <cfRule type="cellIs" dxfId="2" priority="2" operator="lessThan">
      <formula>0</formula>
    </cfRule>
  </conditionalFormatting>
  <conditionalFormatting sqref="A3:A11 C3:XFD11 A12:XFD1048576">
    <cfRule type="cellIs" dxfId="1" priority="1" operator="lessThan">
      <formula>0</formula>
    </cfRule>
  </conditionalFormatting>
  <dataValidations count="2">
    <dataValidation type="list" allowBlank="1" showInputMessage="1" showErrorMessage="1" sqref="B4" xr:uid="{9F3D6FC4-E3FB-F544-BC9B-D8FE24ED1321}">
      <formula1>"high, medium, low"</formula1>
    </dataValidation>
    <dataValidation type="list" allowBlank="1" showInputMessage="1" showErrorMessage="1" sqref="B7" xr:uid="{074ECBB2-87B5-B049-938E-7C763DEE47D0}">
      <formula1>"Yes, No"</formula1>
    </dataValidation>
  </dataValidations>
  <pageMargins left="0.7" right="0.7" top="0.75" bottom="0.75" header="0.3" footer="0.3"/>
  <pageSetup paperSize="9" scale="58" orientation="landscape" r:id="rId1"/>
  <colBreaks count="1" manualBreakCount="1">
    <brk id="9"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258F1-11BE-D744-BA34-AD30D979BCCD}">
  <dimension ref="A1:I17"/>
  <sheetViews>
    <sheetView zoomScale="150" zoomScaleNormal="150" workbookViewId="0">
      <selection activeCell="I4" sqref="I4"/>
    </sheetView>
  </sheetViews>
  <sheetFormatPr baseColWidth="10" defaultColWidth="10.875" defaultRowHeight="19" x14ac:dyDescent="0.25"/>
  <cols>
    <col min="1" max="1" width="38.625" style="1" customWidth="1"/>
    <col min="2" max="9" width="8.625" style="1" customWidth="1"/>
    <col min="10" max="16384" width="10.875" style="1"/>
  </cols>
  <sheetData>
    <row r="1" spans="1:9" ht="79.5" customHeight="1" x14ac:dyDescent="0.3">
      <c r="A1" s="48" t="s">
        <v>47</v>
      </c>
      <c r="B1" s="49"/>
      <c r="C1" s="49"/>
      <c r="D1" s="49"/>
      <c r="E1" s="49"/>
      <c r="F1" s="49"/>
      <c r="G1" s="49"/>
      <c r="H1" s="49"/>
      <c r="I1" s="49"/>
    </row>
    <row r="2" spans="1:9" s="36" customFormat="1" x14ac:dyDescent="0.25"/>
    <row r="3" spans="1:9" s="36" customFormat="1" ht="11" customHeight="1" x14ac:dyDescent="0.25"/>
    <row r="4" spans="1:9" x14ac:dyDescent="0.25">
      <c r="A4" s="8" t="s">
        <v>12</v>
      </c>
      <c r="B4" s="21">
        <v>0.1</v>
      </c>
      <c r="C4" s="35"/>
      <c r="D4" s="37"/>
      <c r="E4" s="35"/>
      <c r="F4" s="35"/>
      <c r="G4" s="35"/>
      <c r="H4" s="35"/>
      <c r="I4" s="35"/>
    </row>
    <row r="5" spans="1:9" x14ac:dyDescent="0.25">
      <c r="A5" s="8" t="s">
        <v>13</v>
      </c>
      <c r="B5" s="4">
        <f>SUM(B12:I12)</f>
        <v>19152.345186000006</v>
      </c>
      <c r="C5" s="35"/>
      <c r="D5" s="28"/>
      <c r="E5" s="35"/>
      <c r="F5" s="35"/>
      <c r="G5" s="35"/>
      <c r="H5" s="35"/>
      <c r="I5" s="35"/>
    </row>
    <row r="6" spans="1:9" x14ac:dyDescent="0.25">
      <c r="A6" s="8" t="s">
        <v>14</v>
      </c>
      <c r="B6" s="4">
        <f>SUM(B15:I15)</f>
        <v>4350</v>
      </c>
      <c r="C6" s="38"/>
      <c r="D6" s="35"/>
      <c r="E6" s="35"/>
      <c r="F6" s="35"/>
      <c r="G6" s="35"/>
      <c r="H6" s="35"/>
      <c r="I6" s="35"/>
    </row>
    <row r="7" spans="1:9" x14ac:dyDescent="0.25">
      <c r="A7" s="8" t="s">
        <v>16</v>
      </c>
      <c r="B7" s="22">
        <f>SUM(B17:I17)</f>
        <v>7823.91600145552</v>
      </c>
      <c r="C7" s="35"/>
      <c r="D7" s="35"/>
      <c r="E7" s="35"/>
      <c r="F7" s="35"/>
      <c r="G7" s="35"/>
      <c r="H7" s="35"/>
      <c r="I7" s="35"/>
    </row>
    <row r="8" spans="1:9" x14ac:dyDescent="0.25">
      <c r="A8" s="35"/>
      <c r="B8" s="35"/>
      <c r="C8" s="35"/>
      <c r="D8" s="35"/>
      <c r="E8" s="35"/>
      <c r="F8" s="35"/>
      <c r="G8" s="35"/>
      <c r="H8" s="35"/>
      <c r="I8" s="35"/>
    </row>
    <row r="9" spans="1:9" x14ac:dyDescent="0.25">
      <c r="A9" s="44" t="s">
        <v>0</v>
      </c>
      <c r="B9" s="19" t="s">
        <v>1</v>
      </c>
      <c r="C9" s="19" t="s">
        <v>2</v>
      </c>
      <c r="D9" s="19" t="s">
        <v>3</v>
      </c>
      <c r="E9" s="19" t="s">
        <v>4</v>
      </c>
      <c r="F9" s="19" t="s">
        <v>5</v>
      </c>
      <c r="G9" s="19" t="s">
        <v>6</v>
      </c>
      <c r="H9" s="19" t="s">
        <v>7</v>
      </c>
      <c r="I9" s="19" t="s">
        <v>8</v>
      </c>
    </row>
    <row r="10" spans="1:9" x14ac:dyDescent="0.25">
      <c r="A10" s="8"/>
      <c r="B10" s="13"/>
      <c r="C10" s="13"/>
      <c r="D10" s="13"/>
      <c r="E10" s="13"/>
      <c r="F10" s="13"/>
      <c r="G10" s="13"/>
      <c r="H10" s="13"/>
      <c r="I10" s="13"/>
    </row>
    <row r="11" spans="1:9" x14ac:dyDescent="0.25">
      <c r="A11" s="14" t="s">
        <v>9</v>
      </c>
      <c r="B11" s="13"/>
      <c r="C11" s="13"/>
      <c r="D11" s="13"/>
      <c r="E11" s="13"/>
      <c r="F11" s="13"/>
      <c r="G11" s="13"/>
      <c r="H11" s="13"/>
      <c r="I11" s="13"/>
    </row>
    <row r="12" spans="1:9" x14ac:dyDescent="0.25">
      <c r="A12" s="15" t="s">
        <v>10</v>
      </c>
      <c r="B12" s="16">
        <f>'Sales &amp; Profit Planning'!B28</f>
        <v>0</v>
      </c>
      <c r="C12" s="16">
        <f>'Sales &amp; Profit Planning'!C28</f>
        <v>0</v>
      </c>
      <c r="D12" s="16">
        <f>'Sales &amp; Profit Planning'!D28</f>
        <v>1393.2000000000007</v>
      </c>
      <c r="E12" s="16">
        <f>'Sales &amp; Profit Planning'!E28</f>
        <v>1948.8600000000006</v>
      </c>
      <c r="F12" s="16">
        <f>'Sales &amp; Profit Planning'!F28</f>
        <v>2726.9459999999999</v>
      </c>
      <c r="G12" s="16">
        <f>'Sales &amp; Profit Planning'!G28</f>
        <v>3524.5206000000012</v>
      </c>
      <c r="H12" s="16">
        <f>'Sales &amp; Profit Planning'!H28</f>
        <v>4349.3646600000011</v>
      </c>
      <c r="I12" s="16">
        <f>'Sales &amp; Profit Planning'!I28</f>
        <v>5209.453926000002</v>
      </c>
    </row>
    <row r="13" spans="1:9" x14ac:dyDescent="0.25">
      <c r="A13" s="8"/>
      <c r="B13" s="13"/>
      <c r="C13" s="13"/>
      <c r="D13" s="13"/>
      <c r="E13" s="13"/>
      <c r="F13" s="13"/>
      <c r="G13" s="13"/>
      <c r="H13" s="13"/>
      <c r="I13" s="13"/>
    </row>
    <row r="14" spans="1:9" x14ac:dyDescent="0.25">
      <c r="A14" s="14" t="s">
        <v>11</v>
      </c>
      <c r="B14" s="13"/>
      <c r="C14" s="13"/>
      <c r="D14" s="13"/>
      <c r="E14" s="13"/>
      <c r="F14" s="13"/>
      <c r="G14" s="13"/>
      <c r="H14" s="13"/>
      <c r="I14" s="13"/>
    </row>
    <row r="15" spans="1:9" x14ac:dyDescent="0.25">
      <c r="A15" s="15" t="s">
        <v>29</v>
      </c>
      <c r="B15" s="16">
        <f>'Project Cost Planning'!B27</f>
        <v>1610</v>
      </c>
      <c r="C15" s="16">
        <f>'Project Cost Planning'!C27</f>
        <v>1630</v>
      </c>
      <c r="D15" s="16">
        <f>'Project Cost Planning'!D27</f>
        <v>870</v>
      </c>
      <c r="E15" s="16">
        <f>'Project Cost Planning'!E27</f>
        <v>70</v>
      </c>
      <c r="F15" s="16">
        <f>'Project Cost Planning'!F27</f>
        <v>70</v>
      </c>
      <c r="G15" s="16">
        <f>'Project Cost Planning'!G27</f>
        <v>60</v>
      </c>
      <c r="H15" s="16">
        <f>'Project Cost Planning'!H27</f>
        <v>40</v>
      </c>
      <c r="I15" s="16">
        <f>'Project Cost Planning'!I27</f>
        <v>0</v>
      </c>
    </row>
    <row r="16" spans="1:9" x14ac:dyDescent="0.25">
      <c r="A16" s="17" t="s">
        <v>17</v>
      </c>
      <c r="B16" s="18">
        <f t="shared" ref="B16:I16" si="0">B12-B15</f>
        <v>-1610</v>
      </c>
      <c r="C16" s="18">
        <f t="shared" si="0"/>
        <v>-1630</v>
      </c>
      <c r="D16" s="18">
        <f t="shared" si="0"/>
        <v>523.20000000000073</v>
      </c>
      <c r="E16" s="18">
        <f t="shared" si="0"/>
        <v>1878.8600000000006</v>
      </c>
      <c r="F16" s="18">
        <f t="shared" si="0"/>
        <v>2656.9459999999999</v>
      </c>
      <c r="G16" s="18">
        <f t="shared" si="0"/>
        <v>3464.5206000000012</v>
      </c>
      <c r="H16" s="18">
        <f t="shared" si="0"/>
        <v>4309.3646600000011</v>
      </c>
      <c r="I16" s="18">
        <f t="shared" si="0"/>
        <v>5209.453926000002</v>
      </c>
    </row>
    <row r="17" spans="1:9" x14ac:dyDescent="0.25">
      <c r="A17" s="17" t="s">
        <v>15</v>
      </c>
      <c r="B17" s="18">
        <f>B16</f>
        <v>-1610</v>
      </c>
      <c r="C17" s="18">
        <f>C16/(1+B4)^1</f>
        <v>-1481.8181818181818</v>
      </c>
      <c r="D17" s="18">
        <f>D16/(1+B4)^2</f>
        <v>432.39669421487656</v>
      </c>
      <c r="E17" s="18">
        <f>E16/(1+B4)^3</f>
        <v>1411.6153268219384</v>
      </c>
      <c r="F17" s="18">
        <f>F16/(1+B4)^4</f>
        <v>1814.7298681784025</v>
      </c>
      <c r="G17" s="18">
        <f>G16/(1+B4)^5</f>
        <v>2151.1947147176979</v>
      </c>
      <c r="H17" s="18">
        <f>H16/(1+B4)^6</f>
        <v>2432.52400566506</v>
      </c>
      <c r="I17" s="18">
        <f>I16/(1+B4)^7</f>
        <v>2673.2735736757268</v>
      </c>
    </row>
  </sheetData>
  <sheetProtection selectLockedCells="1"/>
  <mergeCells count="1">
    <mergeCell ref="A1:I1"/>
  </mergeCells>
  <pageMargins left="0.7" right="0.7" top="0.75" bottom="0.75" header="0.3" footer="0.3"/>
  <pageSetup paperSize="9" scale="58" orientation="landscape"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77D68-578C-834C-B88B-CA9E100736B2}">
  <dimension ref="A1:I26"/>
  <sheetViews>
    <sheetView zoomScale="150" zoomScaleNormal="150" workbookViewId="0">
      <selection activeCell="B5" sqref="B5"/>
    </sheetView>
  </sheetViews>
  <sheetFormatPr baseColWidth="10" defaultColWidth="10.875" defaultRowHeight="19" x14ac:dyDescent="0.25"/>
  <cols>
    <col min="1" max="1" width="38.625" style="1" customWidth="1"/>
    <col min="2" max="9" width="8.625" style="1" customWidth="1"/>
    <col min="10" max="16384" width="10.875" style="1"/>
  </cols>
  <sheetData>
    <row r="1" spans="1:9" ht="79.5" customHeight="1" x14ac:dyDescent="0.3">
      <c r="A1" s="48" t="s">
        <v>48</v>
      </c>
      <c r="B1" s="49"/>
      <c r="C1" s="49"/>
      <c r="D1" s="49"/>
      <c r="E1" s="49"/>
      <c r="F1" s="49"/>
      <c r="G1" s="49"/>
      <c r="H1" s="49"/>
      <c r="I1" s="49"/>
    </row>
    <row r="2" spans="1:9" s="36" customFormat="1" x14ac:dyDescent="0.25"/>
    <row r="3" spans="1:9" s="36" customFormat="1" ht="11" customHeight="1" x14ac:dyDescent="0.25"/>
    <row r="4" spans="1:9" x14ac:dyDescent="0.25">
      <c r="A4" s="8" t="s">
        <v>12</v>
      </c>
      <c r="B4" s="21">
        <v>0.1</v>
      </c>
      <c r="C4" s="35"/>
      <c r="D4" s="37"/>
      <c r="E4" s="35"/>
      <c r="F4" s="35"/>
      <c r="G4" s="35"/>
      <c r="H4" s="35"/>
      <c r="I4" s="35"/>
    </row>
    <row r="5" spans="1:9" x14ac:dyDescent="0.25">
      <c r="A5" s="8" t="s">
        <v>13</v>
      </c>
      <c r="B5" s="4">
        <f>SUM(B12:I12)</f>
        <v>11864.323724400005</v>
      </c>
      <c r="C5" s="35"/>
      <c r="D5" s="28"/>
      <c r="E5" s="35"/>
      <c r="F5" s="35"/>
      <c r="G5" s="35"/>
      <c r="H5" s="35"/>
      <c r="I5" s="35"/>
    </row>
    <row r="6" spans="1:9" x14ac:dyDescent="0.25">
      <c r="A6" s="8" t="s">
        <v>14</v>
      </c>
      <c r="B6" s="4">
        <f>SUM(B15:I15)</f>
        <v>6150</v>
      </c>
      <c r="C6" s="38"/>
      <c r="D6" s="35"/>
      <c r="E6" s="35"/>
      <c r="F6" s="35"/>
      <c r="G6" s="35"/>
      <c r="H6" s="35"/>
      <c r="I6" s="35"/>
    </row>
    <row r="7" spans="1:9" x14ac:dyDescent="0.25">
      <c r="A7" s="8" t="s">
        <v>16</v>
      </c>
      <c r="B7" s="22">
        <f>SUM(B17:I17)</f>
        <v>1458.7920345133728</v>
      </c>
      <c r="C7" s="35"/>
      <c r="D7" s="35"/>
      <c r="E7" s="35"/>
      <c r="F7" s="35"/>
      <c r="G7" s="35"/>
      <c r="H7" s="35"/>
      <c r="I7" s="35"/>
    </row>
    <row r="8" spans="1:9" x14ac:dyDescent="0.25">
      <c r="A8" s="35"/>
      <c r="B8" s="35"/>
      <c r="C8" s="35"/>
      <c r="D8" s="35"/>
      <c r="E8" s="35"/>
      <c r="F8" s="35"/>
      <c r="G8" s="35"/>
      <c r="H8" s="35"/>
      <c r="I8" s="35"/>
    </row>
    <row r="9" spans="1:9" x14ac:dyDescent="0.25">
      <c r="A9" s="44" t="s">
        <v>0</v>
      </c>
      <c r="B9" s="19" t="s">
        <v>1</v>
      </c>
      <c r="C9" s="19" t="s">
        <v>2</v>
      </c>
      <c r="D9" s="19" t="s">
        <v>3</v>
      </c>
      <c r="E9" s="19" t="s">
        <v>4</v>
      </c>
      <c r="F9" s="19" t="s">
        <v>5</v>
      </c>
      <c r="G9" s="19" t="s">
        <v>6</v>
      </c>
      <c r="H9" s="19" t="s">
        <v>7</v>
      </c>
      <c r="I9" s="19" t="s">
        <v>8</v>
      </c>
    </row>
    <row r="10" spans="1:9" x14ac:dyDescent="0.25">
      <c r="A10" s="8"/>
      <c r="B10" s="13"/>
      <c r="C10" s="13"/>
      <c r="D10" s="13"/>
      <c r="E10" s="13"/>
      <c r="F10" s="13"/>
      <c r="G10" s="13"/>
      <c r="H10" s="13"/>
      <c r="I10" s="13"/>
    </row>
    <row r="11" spans="1:9" x14ac:dyDescent="0.25">
      <c r="A11" s="14" t="s">
        <v>9</v>
      </c>
      <c r="B11" s="13"/>
      <c r="C11" s="13"/>
      <c r="D11" s="13"/>
      <c r="E11" s="13"/>
      <c r="F11" s="13"/>
      <c r="G11" s="13"/>
      <c r="H11" s="13"/>
      <c r="I11" s="13"/>
    </row>
    <row r="12" spans="1:9" x14ac:dyDescent="0.25">
      <c r="A12" s="15" t="s">
        <v>10</v>
      </c>
      <c r="B12" s="16">
        <f>'Sales &amp; Profit Planning'!B28</f>
        <v>0</v>
      </c>
      <c r="C12" s="16">
        <f>'Sales &amp; Profit Planning'!C35</f>
        <v>0</v>
      </c>
      <c r="D12" s="16">
        <f>'Sales &amp; Profit Planning'!D35</f>
        <v>502.19999999999982</v>
      </c>
      <c r="E12" s="16">
        <f>'Sales &amp; Profit Planning'!E35</f>
        <v>901.04400000000032</v>
      </c>
      <c r="F12" s="16">
        <f>'Sales &amp; Profit Planning'!F35</f>
        <v>1574.3483999999999</v>
      </c>
      <c r="G12" s="16">
        <f>'Sales &amp; Profit Planning'!G35</f>
        <v>2256.6632400000012</v>
      </c>
      <c r="H12" s="16">
        <f>'Sales &amp; Profit Planning'!H35</f>
        <v>2954.7215640000018</v>
      </c>
      <c r="I12" s="16">
        <f>'Sales &amp; Profit Planning'!I35</f>
        <v>3675.3465204000017</v>
      </c>
    </row>
    <row r="13" spans="1:9" x14ac:dyDescent="0.25">
      <c r="A13" s="8"/>
      <c r="B13" s="13"/>
      <c r="C13" s="13"/>
      <c r="D13" s="13"/>
      <c r="E13" s="13"/>
      <c r="F13" s="13"/>
      <c r="G13" s="13"/>
      <c r="H13" s="13"/>
      <c r="I13" s="13"/>
    </row>
    <row r="14" spans="1:9" x14ac:dyDescent="0.25">
      <c r="A14" s="14" t="s">
        <v>11</v>
      </c>
      <c r="B14" s="13"/>
      <c r="C14" s="13"/>
      <c r="D14" s="13"/>
      <c r="E14" s="13"/>
      <c r="F14" s="13"/>
      <c r="G14" s="13"/>
      <c r="H14" s="13"/>
      <c r="I14" s="13"/>
    </row>
    <row r="15" spans="1:9" x14ac:dyDescent="0.25">
      <c r="A15" s="15" t="s">
        <v>29</v>
      </c>
      <c r="B15" s="16">
        <f>'Project Cost Planning'!B28</f>
        <v>2410</v>
      </c>
      <c r="C15" s="16">
        <f>'Project Cost Planning'!C28</f>
        <v>2430</v>
      </c>
      <c r="D15" s="16">
        <f>'Project Cost Planning'!D28</f>
        <v>1070</v>
      </c>
      <c r="E15" s="16">
        <f>'Project Cost Planning'!E28</f>
        <v>70</v>
      </c>
      <c r="F15" s="16">
        <f>'Project Cost Planning'!F28</f>
        <v>70</v>
      </c>
      <c r="G15" s="16">
        <f>'Project Cost Planning'!G28</f>
        <v>60</v>
      </c>
      <c r="H15" s="16">
        <f>'Project Cost Planning'!H28</f>
        <v>40</v>
      </c>
      <c r="I15" s="16">
        <f>'Project Cost Planning'!I28</f>
        <v>0</v>
      </c>
    </row>
    <row r="16" spans="1:9" x14ac:dyDescent="0.25">
      <c r="A16" s="17" t="s">
        <v>17</v>
      </c>
      <c r="B16" s="20">
        <f t="shared" ref="B16:I16" si="0">B12-B15</f>
        <v>-2410</v>
      </c>
      <c r="C16" s="20">
        <f t="shared" si="0"/>
        <v>-2430</v>
      </c>
      <c r="D16" s="20">
        <f t="shared" si="0"/>
        <v>-567.80000000000018</v>
      </c>
      <c r="E16" s="20">
        <f t="shared" si="0"/>
        <v>831.04400000000032</v>
      </c>
      <c r="F16" s="20">
        <f t="shared" si="0"/>
        <v>1504.3483999999999</v>
      </c>
      <c r="G16" s="20">
        <f t="shared" si="0"/>
        <v>2196.6632400000012</v>
      </c>
      <c r="H16" s="20">
        <f t="shared" si="0"/>
        <v>2914.7215640000018</v>
      </c>
      <c r="I16" s="20">
        <f t="shared" si="0"/>
        <v>3675.3465204000017</v>
      </c>
    </row>
    <row r="17" spans="1:9" x14ac:dyDescent="0.25">
      <c r="A17" s="17" t="s">
        <v>15</v>
      </c>
      <c r="B17" s="20">
        <f>B16</f>
        <v>-2410</v>
      </c>
      <c r="C17" s="20">
        <f>C16/(1+B4)^1</f>
        <v>-2209.090909090909</v>
      </c>
      <c r="D17" s="20">
        <f>D16/(1+B4)^2</f>
        <v>-469.2561983471075</v>
      </c>
      <c r="E17" s="20">
        <f>E16/(1+B4)^3</f>
        <v>624.37565740045079</v>
      </c>
      <c r="F17" s="20">
        <f>F16/(1+B4)^4</f>
        <v>1027.4901987569151</v>
      </c>
      <c r="G17" s="20">
        <f>G16/(1+B4)^5</f>
        <v>1363.9550452962108</v>
      </c>
      <c r="H17" s="20">
        <f>H16/(1+B4)^6</f>
        <v>1645.2843362435731</v>
      </c>
      <c r="I17" s="20">
        <f>I16/(1+B4)^7</f>
        <v>1886.0339042542396</v>
      </c>
    </row>
    <row r="26" spans="1:9" ht="26" x14ac:dyDescent="0.3">
      <c r="C26" s="23"/>
    </row>
  </sheetData>
  <sheetProtection selectLockedCells="1"/>
  <mergeCells count="1">
    <mergeCell ref="A1:I1"/>
  </mergeCells>
  <pageMargins left="0.7" right="0.7" top="0.75" bottom="0.75" header="0.3" footer="0.3"/>
  <pageSetup paperSize="9" scale="56" orientation="landscape"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98C35-10A6-B14C-8DDC-98ADA354030D}">
  <dimension ref="A1:J24"/>
  <sheetViews>
    <sheetView tabSelected="1" topLeftCell="A29" zoomScale="150" zoomScaleNormal="150" workbookViewId="0">
      <selection activeCell="C46" sqref="C46"/>
    </sheetView>
  </sheetViews>
  <sheetFormatPr baseColWidth="10" defaultColWidth="11" defaultRowHeight="19" x14ac:dyDescent="0.25"/>
  <cols>
    <col min="1" max="4" width="25.625" style="1" customWidth="1"/>
    <col min="5" max="16384" width="11" style="1"/>
  </cols>
  <sheetData>
    <row r="1" spans="1:10" ht="79.5" customHeight="1" x14ac:dyDescent="0.35">
      <c r="A1" s="39"/>
    </row>
    <row r="2" spans="1:10" hidden="1" x14ac:dyDescent="0.25"/>
    <row r="3" spans="1:10" hidden="1" x14ac:dyDescent="0.25"/>
    <row r="5" spans="1:10" hidden="1" x14ac:dyDescent="0.25">
      <c r="A5" s="1" t="s">
        <v>49</v>
      </c>
      <c r="B5" s="40" t="s">
        <v>56</v>
      </c>
      <c r="C5" s="40" t="s">
        <v>1</v>
      </c>
      <c r="D5" s="40" t="s">
        <v>2</v>
      </c>
      <c r="E5" s="40" t="s">
        <v>3</v>
      </c>
      <c r="F5" s="40" t="s">
        <v>4</v>
      </c>
      <c r="G5" s="40" t="s">
        <v>5</v>
      </c>
      <c r="H5" s="40" t="s">
        <v>6</v>
      </c>
      <c r="I5" s="40" t="s">
        <v>7</v>
      </c>
      <c r="J5" s="40" t="s">
        <v>8</v>
      </c>
    </row>
    <row r="6" spans="1:10" hidden="1" x14ac:dyDescent="0.25">
      <c r="A6" s="1" t="str">
        <f>'Sales &amp; Profit Planning'!A28</f>
        <v>Incremental Profit [kLC] (best case)</v>
      </c>
      <c r="B6" s="41">
        <v>0</v>
      </c>
      <c r="C6" s="41">
        <f>'Sales &amp; Profit Planning'!B28</f>
        <v>0</v>
      </c>
      <c r="D6" s="41">
        <f>'Sales &amp; Profit Planning'!C28</f>
        <v>0</v>
      </c>
      <c r="E6" s="41">
        <f>'Sales &amp; Profit Planning'!D28</f>
        <v>1393.2000000000007</v>
      </c>
      <c r="F6" s="41">
        <f>'Sales &amp; Profit Planning'!E28</f>
        <v>1948.8600000000006</v>
      </c>
      <c r="G6" s="41">
        <f>'Sales &amp; Profit Planning'!F28</f>
        <v>2726.9459999999999</v>
      </c>
      <c r="H6" s="41">
        <f>'Sales &amp; Profit Planning'!G28</f>
        <v>3524.5206000000012</v>
      </c>
      <c r="I6" s="41">
        <f>'Sales &amp; Profit Planning'!H28</f>
        <v>4349.3646600000011</v>
      </c>
      <c r="J6" s="41">
        <f>'Sales &amp; Profit Planning'!I28</f>
        <v>5209.453926000002</v>
      </c>
    </row>
    <row r="7" spans="1:10" hidden="1" x14ac:dyDescent="0.25">
      <c r="A7" s="1" t="s">
        <v>50</v>
      </c>
      <c r="B7" s="41">
        <v>0</v>
      </c>
      <c r="C7" s="41">
        <f>'Business Case best case'!B15*(-1)</f>
        <v>-1610</v>
      </c>
      <c r="D7" s="41">
        <f>'Business Case best case'!C15*(-1)</f>
        <v>-1630</v>
      </c>
      <c r="E7" s="41">
        <f>'Business Case best case'!D15*(-1)</f>
        <v>-870</v>
      </c>
      <c r="F7" s="41">
        <f>'Business Case best case'!E15*(-1)</f>
        <v>-70</v>
      </c>
      <c r="G7" s="41">
        <f>'Business Case best case'!F15*(-1)</f>
        <v>-70</v>
      </c>
      <c r="H7" s="41">
        <f>'Business Case best case'!G15*(-1)</f>
        <v>-60</v>
      </c>
      <c r="I7" s="41">
        <f>'Business Case best case'!H15*(-1)</f>
        <v>-40</v>
      </c>
      <c r="J7" s="41">
        <f>'Business Case best case'!I15*(-1)</f>
        <v>0</v>
      </c>
    </row>
    <row r="8" spans="1:10" hidden="1" x14ac:dyDescent="0.25">
      <c r="A8" s="1" t="str">
        <f>'Sales &amp; Profit Planning'!A35</f>
        <v>Incremental Profit [kLC] (worst case)</v>
      </c>
      <c r="B8" s="41"/>
      <c r="C8" s="41">
        <f>'Sales &amp; Profit Planning'!B35</f>
        <v>0</v>
      </c>
      <c r="D8" s="41">
        <f>'Sales &amp; Profit Planning'!C35</f>
        <v>0</v>
      </c>
      <c r="E8" s="41">
        <f>'Sales &amp; Profit Planning'!D35</f>
        <v>502.19999999999982</v>
      </c>
      <c r="F8" s="41">
        <f>'Sales &amp; Profit Planning'!E35</f>
        <v>901.04400000000032</v>
      </c>
      <c r="G8" s="41">
        <f>'Sales &amp; Profit Planning'!F35</f>
        <v>1574.3483999999999</v>
      </c>
      <c r="H8" s="41">
        <f>'Sales &amp; Profit Planning'!G35</f>
        <v>2256.6632400000012</v>
      </c>
      <c r="I8" s="41">
        <f>'Sales &amp; Profit Planning'!H35</f>
        <v>2954.7215640000018</v>
      </c>
      <c r="J8" s="41">
        <f>'Sales &amp; Profit Planning'!I35</f>
        <v>3675.3465204000017</v>
      </c>
    </row>
    <row r="9" spans="1:10" hidden="1" x14ac:dyDescent="0.25">
      <c r="A9" s="1" t="s">
        <v>52</v>
      </c>
      <c r="B9" s="41">
        <v>0</v>
      </c>
      <c r="C9" s="41">
        <f>'Business Case worst case'!B15* (-1)</f>
        <v>-2410</v>
      </c>
      <c r="D9" s="41">
        <f>'Business Case worst case'!C15* (-1)</f>
        <v>-2430</v>
      </c>
      <c r="E9" s="41">
        <f>'Business Case worst case'!D15* (-1)</f>
        <v>-1070</v>
      </c>
      <c r="F9" s="41">
        <f>'Business Case worst case'!E15* (-1)</f>
        <v>-70</v>
      </c>
      <c r="G9" s="41">
        <f>'Business Case worst case'!F15* (-1)</f>
        <v>-70</v>
      </c>
      <c r="H9" s="41">
        <f>'Business Case worst case'!G15* (-1)</f>
        <v>-60</v>
      </c>
      <c r="I9" s="41">
        <f>'Business Case worst case'!H15* (-1)</f>
        <v>-40</v>
      </c>
      <c r="J9" s="41">
        <f>'Business Case worst case'!I15* (-1)</f>
        <v>0</v>
      </c>
    </row>
    <row r="10" spans="1:10" hidden="1" x14ac:dyDescent="0.25">
      <c r="A10" s="1" t="s">
        <v>51</v>
      </c>
      <c r="B10" s="41">
        <v>0</v>
      </c>
      <c r="C10" s="41">
        <f>C6+C7</f>
        <v>-1610</v>
      </c>
      <c r="D10" s="41">
        <f t="shared" ref="D10:J10" si="0">D6+D7</f>
        <v>-1630</v>
      </c>
      <c r="E10" s="41">
        <f t="shared" si="0"/>
        <v>523.20000000000073</v>
      </c>
      <c r="F10" s="41">
        <f t="shared" si="0"/>
        <v>1878.8600000000006</v>
      </c>
      <c r="G10" s="41">
        <f t="shared" si="0"/>
        <v>2656.9459999999999</v>
      </c>
      <c r="H10" s="41">
        <f t="shared" si="0"/>
        <v>3464.5206000000012</v>
      </c>
      <c r="I10" s="41">
        <f t="shared" si="0"/>
        <v>4309.3646600000011</v>
      </c>
      <c r="J10" s="41">
        <f t="shared" si="0"/>
        <v>5209.453926000002</v>
      </c>
    </row>
    <row r="11" spans="1:10" hidden="1" x14ac:dyDescent="0.25">
      <c r="A11" s="1" t="s">
        <v>54</v>
      </c>
      <c r="B11" s="41">
        <v>0</v>
      </c>
      <c r="C11" s="41">
        <f>C10</f>
        <v>-1610</v>
      </c>
      <c r="D11" s="41">
        <f t="shared" ref="D11:J11" si="1">C11+D10</f>
        <v>-3240</v>
      </c>
      <c r="E11" s="41">
        <f t="shared" si="1"/>
        <v>-2716.7999999999993</v>
      </c>
      <c r="F11" s="41">
        <f t="shared" si="1"/>
        <v>-837.93999999999869</v>
      </c>
      <c r="G11" s="41">
        <f t="shared" si="1"/>
        <v>1819.0060000000012</v>
      </c>
      <c r="H11" s="41">
        <f t="shared" si="1"/>
        <v>5283.5266000000029</v>
      </c>
      <c r="I11" s="41">
        <f t="shared" si="1"/>
        <v>9592.891260000004</v>
      </c>
      <c r="J11" s="41">
        <f t="shared" si="1"/>
        <v>14802.345186000006</v>
      </c>
    </row>
    <row r="12" spans="1:10" hidden="1" x14ac:dyDescent="0.25">
      <c r="A12" s="1" t="s">
        <v>53</v>
      </c>
      <c r="B12" s="42">
        <v>0</v>
      </c>
      <c r="C12" s="41">
        <f>C8+C9</f>
        <v>-2410</v>
      </c>
      <c r="D12" s="41">
        <f t="shared" ref="D12:J12" si="2">D8+D9</f>
        <v>-2430</v>
      </c>
      <c r="E12" s="41">
        <f t="shared" si="2"/>
        <v>-567.80000000000018</v>
      </c>
      <c r="F12" s="41">
        <f t="shared" si="2"/>
        <v>831.04400000000032</v>
      </c>
      <c r="G12" s="41">
        <f t="shared" si="2"/>
        <v>1504.3483999999999</v>
      </c>
      <c r="H12" s="41">
        <f t="shared" si="2"/>
        <v>2196.6632400000012</v>
      </c>
      <c r="I12" s="41">
        <f t="shared" si="2"/>
        <v>2914.7215640000018</v>
      </c>
      <c r="J12" s="41">
        <f t="shared" si="2"/>
        <v>3675.3465204000017</v>
      </c>
    </row>
    <row r="13" spans="1:10" hidden="1" x14ac:dyDescent="0.25">
      <c r="A13" s="1" t="s">
        <v>55</v>
      </c>
      <c r="B13" s="41">
        <v>0</v>
      </c>
      <c r="C13" s="41">
        <f>C12</f>
        <v>-2410</v>
      </c>
      <c r="D13" s="41">
        <f>C13+D12</f>
        <v>-4840</v>
      </c>
      <c r="E13" s="41">
        <f t="shared" ref="E13:J13" si="3">D13+E12</f>
        <v>-5407.8</v>
      </c>
      <c r="F13" s="41">
        <f t="shared" si="3"/>
        <v>-4576.7559999999994</v>
      </c>
      <c r="G13" s="41">
        <f t="shared" si="3"/>
        <v>-3072.4075999999995</v>
      </c>
      <c r="H13" s="41">
        <f t="shared" si="3"/>
        <v>-875.74435999999832</v>
      </c>
      <c r="I13" s="41">
        <f t="shared" si="3"/>
        <v>2038.9772040000034</v>
      </c>
      <c r="J13" s="41">
        <f t="shared" si="3"/>
        <v>5714.3237244000047</v>
      </c>
    </row>
    <row r="14" spans="1:10" hidden="1" x14ac:dyDescent="0.25"/>
    <row r="16" spans="1:10" ht="40" x14ac:dyDescent="0.25">
      <c r="A16" s="45" t="s">
        <v>49</v>
      </c>
      <c r="B16" s="46" t="s">
        <v>72</v>
      </c>
      <c r="C16" s="46" t="s">
        <v>58</v>
      </c>
      <c r="D16" s="47" t="s">
        <v>57</v>
      </c>
    </row>
    <row r="17" spans="1:4" x14ac:dyDescent="0.25">
      <c r="A17" s="43" t="s">
        <v>1</v>
      </c>
      <c r="B17" s="3">
        <f>C11</f>
        <v>-1610</v>
      </c>
      <c r="C17" s="3">
        <f>C12</f>
        <v>-2410</v>
      </c>
      <c r="D17" s="2">
        <v>0</v>
      </c>
    </row>
    <row r="18" spans="1:4" x14ac:dyDescent="0.25">
      <c r="A18" s="43" t="s">
        <v>2</v>
      </c>
      <c r="B18" s="3">
        <f>D11</f>
        <v>-3240</v>
      </c>
      <c r="C18" s="3">
        <f>D13</f>
        <v>-4840</v>
      </c>
      <c r="D18" s="2">
        <v>0</v>
      </c>
    </row>
    <row r="19" spans="1:4" x14ac:dyDescent="0.25">
      <c r="A19" s="43" t="s">
        <v>3</v>
      </c>
      <c r="B19" s="3">
        <f>E11</f>
        <v>-2716.7999999999993</v>
      </c>
      <c r="C19" s="3">
        <f>E13</f>
        <v>-5407.8</v>
      </c>
      <c r="D19" s="2">
        <v>0</v>
      </c>
    </row>
    <row r="20" spans="1:4" x14ac:dyDescent="0.25">
      <c r="A20" s="43" t="s">
        <v>4</v>
      </c>
      <c r="B20" s="3">
        <f>F11</f>
        <v>-837.93999999999869</v>
      </c>
      <c r="C20" s="3">
        <f>F13</f>
        <v>-4576.7559999999994</v>
      </c>
      <c r="D20" s="2">
        <v>0</v>
      </c>
    </row>
    <row r="21" spans="1:4" x14ac:dyDescent="0.25">
      <c r="A21" s="43" t="s">
        <v>5</v>
      </c>
      <c r="B21" s="3">
        <f>G11</f>
        <v>1819.0060000000012</v>
      </c>
      <c r="C21" s="3">
        <f>G13</f>
        <v>-3072.4075999999995</v>
      </c>
      <c r="D21" s="2">
        <v>0</v>
      </c>
    </row>
    <row r="22" spans="1:4" x14ac:dyDescent="0.25">
      <c r="A22" s="43" t="s">
        <v>6</v>
      </c>
      <c r="B22" s="3">
        <f>H11</f>
        <v>5283.5266000000029</v>
      </c>
      <c r="C22" s="3">
        <f>H13</f>
        <v>-875.74435999999832</v>
      </c>
      <c r="D22" s="2">
        <v>0</v>
      </c>
    </row>
    <row r="23" spans="1:4" x14ac:dyDescent="0.25">
      <c r="A23" s="43" t="s">
        <v>7</v>
      </c>
      <c r="B23" s="3">
        <f>I11</f>
        <v>9592.891260000004</v>
      </c>
      <c r="C23" s="3">
        <f>I13</f>
        <v>2038.9772040000034</v>
      </c>
      <c r="D23" s="2">
        <v>0</v>
      </c>
    </row>
    <row r="24" spans="1:4" x14ac:dyDescent="0.25">
      <c r="A24" s="43" t="s">
        <v>8</v>
      </c>
      <c r="B24" s="3">
        <f>J11</f>
        <v>14802.345186000006</v>
      </c>
      <c r="C24" s="3">
        <f>J13</f>
        <v>5714.3237244000047</v>
      </c>
      <c r="D24" s="2">
        <v>0</v>
      </c>
    </row>
  </sheetData>
  <sheetProtection selectLockedCells="1"/>
  <conditionalFormatting sqref="B5:J5">
    <cfRule type="cellIs" dxfId="0" priority="1" operator="lessThan">
      <formula>0</formula>
    </cfRule>
  </conditionalFormatting>
  <pageMargins left="0.7" right="0.7" top="0.75" bottom="0.75" header="0.3" footer="0.3"/>
  <pageSetup paperSize="9" scale="56" orientation="portrait" r:id="rId1"/>
  <colBreaks count="1" manualBreakCount="1">
    <brk id="8" max="51"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Sales &amp; Profit Planning</vt:lpstr>
      <vt:lpstr>Project Cost Planning</vt:lpstr>
      <vt:lpstr>Business Case best case</vt:lpstr>
      <vt:lpstr>Business Case worst case</vt:lpstr>
      <vt:lpstr>Payback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Walter</dc:creator>
  <cp:lastModifiedBy>Christian Walter</cp:lastModifiedBy>
  <dcterms:created xsi:type="dcterms:W3CDTF">2025-05-12T08:37:02Z</dcterms:created>
  <dcterms:modified xsi:type="dcterms:W3CDTF">2025-07-15T08:10:27Z</dcterms:modified>
</cp:coreProperties>
</file>